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vliuk-P\Desktop\Тимчасова\6000\Стаття 38\"/>
    </mc:Choice>
  </mc:AlternateContent>
  <bookViews>
    <workbookView xWindow="0" yWindow="0" windowWidth="23040" windowHeight="8850" tabRatio="837" activeTab="2"/>
  </bookViews>
  <sheets>
    <sheet name="ПОДАТОК НА ПРИБУТОК" sheetId="1" r:id="rId1"/>
    <sheet name="ПДФО ОБЛАСНІ" sheetId="2" r:id="rId2"/>
    <sheet name="ПДФО ГРОМАДИ" sheetId="7" r:id="rId3"/>
    <sheet name="зведена (БАЛАНС) (2)" sheetId="17" state="hidden" r:id="rId4"/>
    <sheet name="Зведена" sheetId="24" r:id="rId5"/>
  </sheets>
  <definedNames>
    <definedName name="_xlnm._FilterDatabase" localSheetId="4" hidden="1">Зведена!$A$4:$G$2208</definedName>
    <definedName name="_xlnm._FilterDatabase" localSheetId="3" hidden="1">'зведена (БАЛАНС) (2)'!$A$4:$F$2013</definedName>
    <definedName name="_xlnm._FilterDatabase" localSheetId="2" hidden="1">'ПДФО ГРОМАДИ'!$A$4:$N$1663</definedName>
    <definedName name="_xlnm.Print_Titles" localSheetId="4">Зведена!$3:$4</definedName>
    <definedName name="_xlnm.Print_Titles" localSheetId="3">'зведена (БАЛАНС) (2)'!$3:$4</definedName>
    <definedName name="_xlnm.Print_Titles" localSheetId="2">'ПДФО ГРОМАДИ'!$3:$4</definedName>
    <definedName name="_xlnm.Print_Area" localSheetId="4">Зведена!$A$1:$F$1664</definedName>
    <definedName name="_xlnm.Print_Area" localSheetId="3">'зведена (БАЛАНС) (2)'!$D$1:$F$1663</definedName>
    <definedName name="_xlnm.Print_Area" localSheetId="2">'ПДФО ГРОМАДИ'!$A$1:$N$1663</definedName>
    <definedName name="_xlnm.Print_Area" localSheetId="1">'ПДФО ОБЛАСНІ'!$A$1:$L$29</definedName>
    <definedName name="_xlnm.Print_Area" localSheetId="0">'ПОДАТОК НА ПРИБУТОК'!$A$1:$L$29</definedName>
  </definedNames>
  <calcPr calcId="162913" fullCalcOnLoad="1"/>
</workbook>
</file>

<file path=xl/calcChain.xml><?xml version="1.0" encoding="utf-8"?>
<calcChain xmlns="http://schemas.openxmlformats.org/spreadsheetml/2006/main">
  <c r="G22" i="2" l="1"/>
  <c r="G6" i="2"/>
  <c r="I1331" i="7"/>
  <c r="I221" i="7"/>
  <c r="I1184" i="7"/>
  <c r="I1178" i="7"/>
  <c r="G10" i="1"/>
  <c r="G6" i="1"/>
  <c r="I199" i="7"/>
  <c r="I286" i="7"/>
  <c r="G25" i="1"/>
  <c r="G9" i="1"/>
  <c r="G18" i="1"/>
  <c r="G28" i="2"/>
  <c r="G11" i="2"/>
  <c r="I1658" i="7"/>
  <c r="I558" i="7"/>
  <c r="G13" i="1"/>
  <c r="G12" i="1"/>
  <c r="G16" i="1"/>
  <c r="G4" i="1"/>
  <c r="G27" i="1"/>
  <c r="G22" i="1"/>
  <c r="G7" i="2"/>
  <c r="G4" i="2"/>
  <c r="I256" i="7"/>
  <c r="I53" i="7"/>
  <c r="I1653" i="7"/>
  <c r="I1600" i="7"/>
  <c r="I1592" i="7"/>
  <c r="I1635" i="7"/>
  <c r="G27" i="2"/>
  <c r="I1654" i="7"/>
  <c r="I1528" i="7"/>
  <c r="I1496" i="7"/>
  <c r="I1179" i="7"/>
  <c r="I1190" i="7"/>
  <c r="I1198" i="7"/>
  <c r="J1190" i="7"/>
  <c r="K1190" i="7"/>
  <c r="I1187" i="7"/>
  <c r="I1188" i="7"/>
  <c r="I1196" i="7"/>
  <c r="I1195" i="7"/>
  <c r="I1194" i="7"/>
  <c r="I1204" i="7"/>
  <c r="I1200" i="7"/>
  <c r="I1193" i="7"/>
  <c r="G20" i="2"/>
  <c r="G19" i="2"/>
  <c r="I1141" i="7"/>
  <c r="G15" i="2"/>
  <c r="I817" i="7"/>
  <c r="I1160" i="7"/>
  <c r="I1170" i="7"/>
  <c r="I273" i="7"/>
  <c r="J273" i="7"/>
  <c r="G18" i="2"/>
  <c r="I1070" i="7"/>
  <c r="I1012" i="7"/>
  <c r="I1005" i="7"/>
  <c r="I1064" i="7"/>
  <c r="I1332" i="7"/>
  <c r="I1038" i="7"/>
  <c r="I1636" i="7"/>
  <c r="I1656" i="7"/>
  <c r="I1648" i="7"/>
  <c r="G17" i="2"/>
  <c r="I977" i="7"/>
  <c r="I953" i="7"/>
  <c r="I537" i="7"/>
  <c r="I577" i="7"/>
  <c r="I530" i="7"/>
  <c r="G28" i="1"/>
  <c r="I392" i="7"/>
  <c r="I389" i="7"/>
  <c r="G7" i="1"/>
  <c r="H7" i="1"/>
  <c r="I229" i="7"/>
  <c r="I165" i="7"/>
  <c r="I269" i="7"/>
  <c r="I100" i="7"/>
  <c r="I107" i="7"/>
  <c r="I133" i="7"/>
  <c r="I93" i="7"/>
  <c r="I1130" i="7"/>
  <c r="I391" i="7"/>
  <c r="I434" i="7"/>
  <c r="I250" i="7"/>
  <c r="G21" i="1"/>
  <c r="H22" i="1"/>
  <c r="I22" i="1"/>
  <c r="G5" i="2"/>
  <c r="I809" i="7"/>
  <c r="J809" i="7"/>
  <c r="K809" i="7"/>
  <c r="I125" i="7"/>
  <c r="G26" i="2"/>
  <c r="I778" i="7"/>
  <c r="J778" i="7"/>
  <c r="I1591" i="7"/>
  <c r="G25" i="2"/>
  <c r="I1329" i="7"/>
  <c r="I1530" i="7"/>
  <c r="I1112" i="7"/>
  <c r="G19" i="1"/>
  <c r="G8" i="1"/>
  <c r="G15" i="1"/>
  <c r="G10" i="2"/>
  <c r="I498" i="7"/>
  <c r="I501" i="7"/>
  <c r="J434" i="7"/>
  <c r="K434" i="7"/>
  <c r="I426" i="7"/>
  <c r="I268" i="7"/>
  <c r="G14" i="2"/>
  <c r="I747" i="7"/>
  <c r="I186" i="7"/>
  <c r="I185" i="7"/>
  <c r="I1529" i="7"/>
  <c r="G17" i="1"/>
  <c r="I1124" i="7"/>
  <c r="I1131" i="7"/>
  <c r="I773" i="7"/>
  <c r="I556" i="7"/>
  <c r="J556" i="7"/>
  <c r="K556" i="7"/>
  <c r="I570" i="7"/>
  <c r="I583" i="7"/>
  <c r="I527" i="7"/>
  <c r="I572" i="7"/>
  <c r="I528" i="7"/>
  <c r="I500" i="7"/>
  <c r="G9" i="2"/>
  <c r="G8" i="2"/>
  <c r="I318" i="7"/>
  <c r="J286" i="7"/>
  <c r="K286" i="7"/>
  <c r="I281" i="7"/>
  <c r="I261" i="7"/>
  <c r="J261" i="7"/>
  <c r="K261" i="7"/>
  <c r="I278" i="7"/>
  <c r="I260" i="7"/>
  <c r="I267" i="7"/>
  <c r="I287" i="7"/>
  <c r="J287" i="7"/>
  <c r="K287" i="7"/>
  <c r="I257" i="7"/>
  <c r="I182" i="7"/>
  <c r="I168" i="7"/>
  <c r="I216" i="7"/>
  <c r="J216" i="7"/>
  <c r="I223" i="7"/>
  <c r="I232" i="7"/>
  <c r="I75" i="7"/>
  <c r="I1487" i="7"/>
  <c r="I22" i="7"/>
  <c r="H1600" i="7"/>
  <c r="J1594" i="7"/>
  <c r="I1594" i="7"/>
  <c r="H1594" i="7"/>
  <c r="H1539" i="7"/>
  <c r="J1535" i="7"/>
  <c r="I1535" i="7"/>
  <c r="H1535" i="7"/>
  <c r="H1533" i="7"/>
  <c r="H1466" i="7"/>
  <c r="J1461" i="7"/>
  <c r="I1461" i="7"/>
  <c r="H1461" i="7"/>
  <c r="H1398" i="7"/>
  <c r="J1394" i="7"/>
  <c r="I1394" i="7"/>
  <c r="H1394" i="7"/>
  <c r="H1392" i="7"/>
  <c r="H1342" i="7"/>
  <c r="J1336" i="7"/>
  <c r="K1336" i="7"/>
  <c r="I1336" i="7"/>
  <c r="H1336" i="7"/>
  <c r="H1334" i="7"/>
  <c r="I1277" i="7"/>
  <c r="I1267" i="7"/>
  <c r="H1277" i="7"/>
  <c r="J1269" i="7"/>
  <c r="I1269" i="7"/>
  <c r="H1269" i="7"/>
  <c r="H1211" i="7"/>
  <c r="J1207" i="7"/>
  <c r="I1207" i="7"/>
  <c r="H1207" i="7"/>
  <c r="H1205" i="7"/>
  <c r="H1153" i="7"/>
  <c r="J1147" i="7"/>
  <c r="I1147" i="7"/>
  <c r="H1147" i="7"/>
  <c r="H1080" i="7"/>
  <c r="J1075" i="7"/>
  <c r="I1075" i="7"/>
  <c r="H1075" i="7"/>
  <c r="H1073" i="7"/>
  <c r="H1012" i="7"/>
  <c r="J1007" i="7"/>
  <c r="I1007" i="7"/>
  <c r="H1007" i="7"/>
  <c r="I913" i="7"/>
  <c r="H913" i="7"/>
  <c r="J905" i="7"/>
  <c r="I905" i="7"/>
  <c r="H905" i="7"/>
  <c r="H903" i="7"/>
  <c r="H850" i="7"/>
  <c r="J845" i="7"/>
  <c r="I845" i="7"/>
  <c r="H845" i="7"/>
  <c r="H769" i="7"/>
  <c r="J761" i="7"/>
  <c r="I761" i="7"/>
  <c r="H761" i="7"/>
  <c r="H732" i="7"/>
  <c r="J727" i="7"/>
  <c r="I727" i="7"/>
  <c r="H727" i="7"/>
  <c r="H725" i="7"/>
  <c r="H675" i="7"/>
  <c r="J670" i="7"/>
  <c r="I670" i="7"/>
  <c r="H670" i="7"/>
  <c r="H668" i="7"/>
  <c r="I598" i="7"/>
  <c r="H598" i="7"/>
  <c r="J590" i="7"/>
  <c r="I590" i="7"/>
  <c r="H590" i="7"/>
  <c r="H525" i="7"/>
  <c r="J518" i="7"/>
  <c r="K518" i="7"/>
  <c r="I518" i="7"/>
  <c r="H518" i="7"/>
  <c r="H516" i="7"/>
  <c r="H448" i="7"/>
  <c r="J442" i="7"/>
  <c r="I442" i="7"/>
  <c r="H442" i="7"/>
  <c r="H440" i="7"/>
  <c r="H375" i="7"/>
  <c r="J368" i="7"/>
  <c r="I368" i="7"/>
  <c r="H368" i="7"/>
  <c r="H366" i="7"/>
  <c r="H299" i="7"/>
  <c r="J294" i="7"/>
  <c r="I294" i="7"/>
  <c r="H294" i="7"/>
  <c r="H292" i="7"/>
  <c r="H245" i="7"/>
  <c r="J239" i="7"/>
  <c r="I239" i="7"/>
  <c r="H239" i="7"/>
  <c r="H237" i="7"/>
  <c r="H150" i="7"/>
  <c r="H140" i="7"/>
  <c r="J142" i="7"/>
  <c r="I142" i="7"/>
  <c r="H142" i="7"/>
  <c r="I85" i="7"/>
  <c r="H85" i="7"/>
  <c r="J80" i="7"/>
  <c r="I80" i="7"/>
  <c r="I78" i="7"/>
  <c r="H80" i="7"/>
  <c r="H14" i="7"/>
  <c r="J7" i="7"/>
  <c r="I7" i="7"/>
  <c r="H7" i="7"/>
  <c r="H5" i="7"/>
  <c r="J1653" i="7"/>
  <c r="K1653" i="7"/>
  <c r="I1638" i="7"/>
  <c r="J1638" i="7"/>
  <c r="I1621" i="7"/>
  <c r="I1615" i="7"/>
  <c r="I1612" i="7"/>
  <c r="I1607" i="7"/>
  <c r="I1584" i="7"/>
  <c r="J1584" i="7"/>
  <c r="I1576" i="7"/>
  <c r="I1571" i="7"/>
  <c r="I1567" i="7"/>
  <c r="I1563" i="7"/>
  <c r="J1563" i="7"/>
  <c r="I1562" i="7"/>
  <c r="I1561" i="7"/>
  <c r="I1560" i="7"/>
  <c r="I1559" i="7"/>
  <c r="J1559" i="7"/>
  <c r="I1552" i="7"/>
  <c r="I1548" i="7"/>
  <c r="J1548" i="7"/>
  <c r="I1546" i="7"/>
  <c r="I1543" i="7"/>
  <c r="J1543" i="7"/>
  <c r="I1542" i="7"/>
  <c r="J1542" i="7"/>
  <c r="I1541" i="7"/>
  <c r="I1532" i="7"/>
  <c r="I1531" i="7"/>
  <c r="I1523" i="7"/>
  <c r="J1523" i="7"/>
  <c r="K1523" i="7"/>
  <c r="I1522" i="7"/>
  <c r="I1490" i="7"/>
  <c r="I1489" i="7"/>
  <c r="J1489" i="7"/>
  <c r="K1489" i="7"/>
  <c r="I1484" i="7"/>
  <c r="I1482" i="7"/>
  <c r="I1478" i="7"/>
  <c r="I1456" i="7"/>
  <c r="J1456" i="7"/>
  <c r="I1451" i="7"/>
  <c r="I1443" i="7"/>
  <c r="I1418" i="7"/>
  <c r="I1390" i="7"/>
  <c r="J1390" i="7"/>
  <c r="K1390" i="7"/>
  <c r="I1378" i="7"/>
  <c r="I1372" i="7"/>
  <c r="I1368" i="7"/>
  <c r="I1230" i="7"/>
  <c r="I1211" i="7"/>
  <c r="J1204" i="7"/>
  <c r="I1201" i="7"/>
  <c r="I1199" i="7"/>
  <c r="J1196" i="7"/>
  <c r="I1192" i="7"/>
  <c r="I1191" i="7"/>
  <c r="J1191" i="7"/>
  <c r="J1184" i="7"/>
  <c r="K1184" i="7"/>
  <c r="I1183" i="7"/>
  <c r="I1172" i="7"/>
  <c r="J1172" i="7"/>
  <c r="I1169" i="7"/>
  <c r="I1159" i="7"/>
  <c r="I1134" i="7"/>
  <c r="I1132" i="7"/>
  <c r="J1132" i="7"/>
  <c r="K1132" i="7"/>
  <c r="I1125" i="7"/>
  <c r="I1116" i="7"/>
  <c r="I1111" i="7"/>
  <c r="I1109" i="7"/>
  <c r="J1109" i="7"/>
  <c r="I1108" i="7"/>
  <c r="I1106" i="7"/>
  <c r="I1105" i="7"/>
  <c r="I1096" i="7"/>
  <c r="J1096" i="7"/>
  <c r="I1094" i="7"/>
  <c r="I1090" i="7"/>
  <c r="I1080" i="7"/>
  <c r="I1073" i="7"/>
  <c r="I1072" i="7"/>
  <c r="I1068" i="7"/>
  <c r="I1062" i="7"/>
  <c r="I1061" i="7"/>
  <c r="I1059" i="7"/>
  <c r="I1057" i="7"/>
  <c r="I1051" i="7"/>
  <c r="I1040" i="7"/>
  <c r="I1039" i="7"/>
  <c r="I1037" i="7"/>
  <c r="J1037" i="7"/>
  <c r="I1032" i="7"/>
  <c r="I1022" i="7"/>
  <c r="I966" i="7"/>
  <c r="I961" i="7"/>
  <c r="I894" i="7"/>
  <c r="I890" i="7"/>
  <c r="I877" i="7"/>
  <c r="I853" i="7"/>
  <c r="I850" i="7"/>
  <c r="I843" i="7"/>
  <c r="I842" i="7"/>
  <c r="J842" i="7"/>
  <c r="I839" i="7"/>
  <c r="I837" i="7"/>
  <c r="I834" i="7"/>
  <c r="I821" i="7"/>
  <c r="J821" i="7"/>
  <c r="I813" i="7"/>
  <c r="I805" i="7"/>
  <c r="J805" i="7"/>
  <c r="I797" i="7"/>
  <c r="I792" i="7"/>
  <c r="I781" i="7"/>
  <c r="I740" i="7"/>
  <c r="I736" i="7"/>
  <c r="I732" i="7"/>
  <c r="I725" i="7"/>
  <c r="I715" i="7"/>
  <c r="I695" i="7"/>
  <c r="I693" i="7"/>
  <c r="J693" i="7"/>
  <c r="I691" i="7"/>
  <c r="I677" i="7"/>
  <c r="I675" i="7"/>
  <c r="I668" i="7"/>
  <c r="I582" i="7"/>
  <c r="J582" i="7"/>
  <c r="K582" i="7"/>
  <c r="I555" i="7"/>
  <c r="I546" i="7"/>
  <c r="I544" i="7"/>
  <c r="I505" i="7"/>
  <c r="J505" i="7"/>
  <c r="K505" i="7"/>
  <c r="I499" i="7"/>
  <c r="I436" i="7"/>
  <c r="J436" i="7"/>
  <c r="I430" i="7"/>
  <c r="I423" i="7"/>
  <c r="I411" i="7"/>
  <c r="I406" i="7"/>
  <c r="I401" i="7"/>
  <c r="I390" i="7"/>
  <c r="I381" i="7"/>
  <c r="I348" i="7"/>
  <c r="J348" i="7"/>
  <c r="I336" i="7"/>
  <c r="I332" i="7"/>
  <c r="I291" i="7"/>
  <c r="J291" i="7"/>
  <c r="I288" i="7"/>
  <c r="I285" i="7"/>
  <c r="J285" i="7"/>
  <c r="K285" i="7"/>
  <c r="I283" i="7"/>
  <c r="I277" i="7"/>
  <c r="I276" i="7"/>
  <c r="J276" i="7"/>
  <c r="K276" i="7"/>
  <c r="I275" i="7"/>
  <c r="J275" i="7"/>
  <c r="K275" i="7"/>
  <c r="I271" i="7"/>
  <c r="I270" i="7"/>
  <c r="J270" i="7"/>
  <c r="J269" i="7"/>
  <c r="K269" i="7"/>
  <c r="I265" i="7"/>
  <c r="I264" i="7"/>
  <c r="I262" i="7"/>
  <c r="J262" i="7"/>
  <c r="K262" i="7"/>
  <c r="I259" i="7"/>
  <c r="I255" i="7"/>
  <c r="J255" i="7"/>
  <c r="K255" i="7"/>
  <c r="I251" i="7"/>
  <c r="J251" i="7"/>
  <c r="I249" i="7"/>
  <c r="I246" i="7"/>
  <c r="I234" i="7"/>
  <c r="J234" i="7"/>
  <c r="I227" i="7"/>
  <c r="I214" i="7"/>
  <c r="J214" i="7"/>
  <c r="K214" i="7"/>
  <c r="I192" i="7"/>
  <c r="J192" i="7"/>
  <c r="I189" i="7"/>
  <c r="J185" i="7"/>
  <c r="I161" i="7"/>
  <c r="J161" i="7"/>
  <c r="I138" i="7"/>
  <c r="I130" i="7"/>
  <c r="J125" i="7"/>
  <c r="I105" i="7"/>
  <c r="I63" i="7"/>
  <c r="I41" i="7"/>
  <c r="J41" i="7"/>
  <c r="I35" i="7"/>
  <c r="I33" i="7"/>
  <c r="I15" i="7"/>
  <c r="I14" i="7"/>
  <c r="I5" i="7"/>
  <c r="H25" i="2"/>
  <c r="I25" i="2"/>
  <c r="G24" i="2"/>
  <c r="G21" i="2"/>
  <c r="H20" i="2"/>
  <c r="I20" i="2"/>
  <c r="H17" i="2"/>
  <c r="I17" i="2"/>
  <c r="G16" i="2"/>
  <c r="H16" i="2"/>
  <c r="I16" i="2"/>
  <c r="G13" i="2"/>
  <c r="H10" i="2"/>
  <c r="I10" i="2"/>
  <c r="H27" i="1"/>
  <c r="I27" i="1"/>
  <c r="G24" i="1"/>
  <c r="H24" i="1"/>
  <c r="G23" i="1"/>
  <c r="H19" i="1"/>
  <c r="H17" i="1"/>
  <c r="I17" i="1"/>
  <c r="H15" i="1"/>
  <c r="G14" i="1"/>
  <c r="H13" i="1"/>
  <c r="I13" i="1"/>
  <c r="G11" i="1"/>
  <c r="H11" i="1"/>
  <c r="H9" i="1"/>
  <c r="G5" i="1"/>
  <c r="F1600" i="7"/>
  <c r="E1600" i="7"/>
  <c r="F1594" i="7"/>
  <c r="E1594" i="7"/>
  <c r="F1539" i="7"/>
  <c r="E1539" i="7"/>
  <c r="F1535" i="7"/>
  <c r="E1535" i="7"/>
  <c r="F1466" i="7"/>
  <c r="E1466" i="7"/>
  <c r="F1461" i="7"/>
  <c r="E1461" i="7"/>
  <c r="F1398" i="7"/>
  <c r="E1398" i="7"/>
  <c r="F1394" i="7"/>
  <c r="F1392" i="7"/>
  <c r="E1394" i="7"/>
  <c r="F1342" i="7"/>
  <c r="E1342" i="7"/>
  <c r="F1336" i="7"/>
  <c r="F1334" i="7"/>
  <c r="E1336" i="7"/>
  <c r="F1277" i="7"/>
  <c r="E1277" i="7"/>
  <c r="F1269" i="7"/>
  <c r="F1267" i="7"/>
  <c r="E1269" i="7"/>
  <c r="F1211" i="7"/>
  <c r="E1211" i="7"/>
  <c r="F1207" i="7"/>
  <c r="F1205" i="7"/>
  <c r="E1207" i="7"/>
  <c r="F1153" i="7"/>
  <c r="E1153" i="7"/>
  <c r="F1147" i="7"/>
  <c r="E1147" i="7"/>
  <c r="F1145" i="7"/>
  <c r="F1080" i="7"/>
  <c r="E1080" i="7"/>
  <c r="F1075" i="7"/>
  <c r="E1075" i="7"/>
  <c r="E1073" i="7"/>
  <c r="F1012" i="7"/>
  <c r="E1012" i="7"/>
  <c r="F1007" i="7"/>
  <c r="E1007" i="7"/>
  <c r="F913" i="7"/>
  <c r="E913" i="7"/>
  <c r="F905" i="7"/>
  <c r="E905" i="7"/>
  <c r="E903" i="7"/>
  <c r="F850" i="7"/>
  <c r="E850" i="7"/>
  <c r="F845" i="7"/>
  <c r="F843" i="7"/>
  <c r="E845" i="7"/>
  <c r="F769" i="7"/>
  <c r="F759" i="7"/>
  <c r="E769" i="7"/>
  <c r="E759" i="7"/>
  <c r="E1659" i="7"/>
  <c r="E1663" i="7"/>
  <c r="F761" i="7"/>
  <c r="E761" i="7"/>
  <c r="F732" i="7"/>
  <c r="E732" i="7"/>
  <c r="F727" i="7"/>
  <c r="E727" i="7"/>
  <c r="E725" i="7"/>
  <c r="F675" i="7"/>
  <c r="E675" i="7"/>
  <c r="F670" i="7"/>
  <c r="F668" i="7"/>
  <c r="E670" i="7"/>
  <c r="E668" i="7"/>
  <c r="F598" i="7"/>
  <c r="E598" i="7"/>
  <c r="E588" i="7"/>
  <c r="F590" i="7"/>
  <c r="F588" i="7"/>
  <c r="E590" i="7"/>
  <c r="F525" i="7"/>
  <c r="E525" i="7"/>
  <c r="F518" i="7"/>
  <c r="E518" i="7"/>
  <c r="E516" i="7"/>
  <c r="F448" i="7"/>
  <c r="E448" i="7"/>
  <c r="F442" i="7"/>
  <c r="E442" i="7"/>
  <c r="F375" i="7"/>
  <c r="E375" i="7"/>
  <c r="F368" i="7"/>
  <c r="E368" i="7"/>
  <c r="F299" i="7"/>
  <c r="E299" i="7"/>
  <c r="F294" i="7"/>
  <c r="E294" i="7"/>
  <c r="E292" i="7"/>
  <c r="F245" i="7"/>
  <c r="E245" i="7"/>
  <c r="E237" i="7"/>
  <c r="F239" i="7"/>
  <c r="E239" i="7"/>
  <c r="F150" i="7"/>
  <c r="E150" i="7"/>
  <c r="F142" i="7"/>
  <c r="E142" i="7"/>
  <c r="E140" i="7"/>
  <c r="F85" i="7"/>
  <c r="E85" i="7"/>
  <c r="F80" i="7"/>
  <c r="E80" i="7"/>
  <c r="E78" i="7"/>
  <c r="F14" i="7"/>
  <c r="E14" i="7"/>
  <c r="F7" i="7"/>
  <c r="F5" i="7"/>
  <c r="E7" i="7"/>
  <c r="K1535" i="7"/>
  <c r="L1535" i="7"/>
  <c r="M1535" i="7"/>
  <c r="N1535" i="7"/>
  <c r="K1269" i="7"/>
  <c r="L1269" i="7"/>
  <c r="M1269" i="7"/>
  <c r="N1269" i="7"/>
  <c r="J481" i="7"/>
  <c r="J97" i="7"/>
  <c r="J134" i="7"/>
  <c r="K134" i="7"/>
  <c r="J1282" i="7"/>
  <c r="J1304" i="7"/>
  <c r="J1309" i="7"/>
  <c r="J1478" i="7"/>
  <c r="K1478" i="7"/>
  <c r="H8" i="2"/>
  <c r="J807" i="7"/>
  <c r="J660" i="7"/>
  <c r="J654" i="7"/>
  <c r="J1530" i="7"/>
  <c r="J1635" i="7"/>
  <c r="J1647" i="7"/>
  <c r="J88" i="7"/>
  <c r="J120" i="7"/>
  <c r="J20" i="7"/>
  <c r="J1558" i="7"/>
  <c r="J964" i="7"/>
  <c r="J923" i="7"/>
  <c r="J982" i="7"/>
  <c r="J926" i="7"/>
  <c r="J969" i="7"/>
  <c r="K969" i="7"/>
  <c r="J499" i="7"/>
  <c r="J497" i="7"/>
  <c r="J539" i="7"/>
  <c r="J631" i="7"/>
  <c r="H22" i="2"/>
  <c r="I22" i="2"/>
  <c r="H7" i="2"/>
  <c r="I7" i="2"/>
  <c r="J1176" i="7"/>
  <c r="J1137" i="7"/>
  <c r="J1130" i="7"/>
  <c r="J1128" i="7"/>
  <c r="J1126" i="7"/>
  <c r="J1106" i="7"/>
  <c r="J751" i="7"/>
  <c r="J575" i="7"/>
  <c r="J564" i="7"/>
  <c r="J550" i="7"/>
  <c r="J430" i="7"/>
  <c r="J426" i="7"/>
  <c r="J416" i="7"/>
  <c r="J391" i="7"/>
  <c r="J380" i="7"/>
  <c r="J268" i="7"/>
  <c r="J249" i="7"/>
  <c r="J223" i="7"/>
  <c r="J221" i="7"/>
  <c r="K221" i="7"/>
  <c r="J139" i="7"/>
  <c r="E1595" i="17"/>
  <c r="F1595" i="17"/>
  <c r="E1338" i="17"/>
  <c r="F1338" i="17"/>
  <c r="E1339" i="17"/>
  <c r="F1339" i="17"/>
  <c r="E1340" i="17"/>
  <c r="F1340" i="17"/>
  <c r="E1341" i="17"/>
  <c r="F1341" i="17"/>
  <c r="E1337" i="17"/>
  <c r="F1337" i="17"/>
  <c r="E906" i="17"/>
  <c r="F906" i="17"/>
  <c r="F905" i="17"/>
  <c r="E592" i="17"/>
  <c r="F592" i="17"/>
  <c r="E593" i="17"/>
  <c r="F593" i="17"/>
  <c r="E594" i="17"/>
  <c r="F594" i="17"/>
  <c r="E595" i="17"/>
  <c r="F595" i="17"/>
  <c r="E596" i="17"/>
  <c r="F596" i="17"/>
  <c r="E519" i="17"/>
  <c r="F519" i="17"/>
  <c r="E370" i="17"/>
  <c r="F370" i="17"/>
  <c r="E371" i="17"/>
  <c r="F371" i="17"/>
  <c r="E372" i="17"/>
  <c r="F372" i="17"/>
  <c r="E144" i="17"/>
  <c r="F144" i="17"/>
  <c r="F144" i="24"/>
  <c r="E145" i="17"/>
  <c r="F145" i="17"/>
  <c r="E146" i="17"/>
  <c r="F146" i="17"/>
  <c r="E147" i="17"/>
  <c r="F147" i="17"/>
  <c r="E148" i="17"/>
  <c r="F148" i="17"/>
  <c r="E149" i="17"/>
  <c r="E149" i="24"/>
  <c r="F149" i="17"/>
  <c r="F149" i="24"/>
  <c r="E10" i="17"/>
  <c r="F10" i="17"/>
  <c r="N1594" i="7"/>
  <c r="M1594" i="7"/>
  <c r="G1594" i="7"/>
  <c r="K1594" i="7"/>
  <c r="N1336" i="7"/>
  <c r="M1336" i="7"/>
  <c r="G1336" i="7"/>
  <c r="N905" i="7"/>
  <c r="M905" i="7"/>
  <c r="G905" i="7"/>
  <c r="N518" i="7"/>
  <c r="M518" i="7"/>
  <c r="G518" i="7"/>
  <c r="M368" i="7"/>
  <c r="M7" i="7"/>
  <c r="F1658" i="17"/>
  <c r="F1658" i="24"/>
  <c r="E1658" i="17"/>
  <c r="F1599" i="17"/>
  <c r="E1599" i="17"/>
  <c r="F1598" i="17"/>
  <c r="E1598" i="17"/>
  <c r="F1597" i="17"/>
  <c r="E1597" i="17"/>
  <c r="F1596" i="17"/>
  <c r="E1596" i="17"/>
  <c r="F1538" i="17"/>
  <c r="E1538" i="17"/>
  <c r="F1537" i="17"/>
  <c r="E1537" i="17"/>
  <c r="E1537" i="24"/>
  <c r="F1536" i="17"/>
  <c r="E1536" i="17"/>
  <c r="F1465" i="17"/>
  <c r="F1465" i="24"/>
  <c r="E1465" i="17"/>
  <c r="F1464" i="17"/>
  <c r="E1464" i="17"/>
  <c r="F1463" i="17"/>
  <c r="E1463" i="17"/>
  <c r="F1462" i="17"/>
  <c r="E1462" i="17"/>
  <c r="F1397" i="17"/>
  <c r="E1397" i="17"/>
  <c r="F1396" i="17"/>
  <c r="E1396" i="17"/>
  <c r="F1395" i="17"/>
  <c r="E1395" i="17"/>
  <c r="F1276" i="17"/>
  <c r="F1276" i="24"/>
  <c r="E1276" i="17"/>
  <c r="F1275" i="17"/>
  <c r="E1275" i="17"/>
  <c r="F1274" i="17"/>
  <c r="E1274" i="17"/>
  <c r="F1273" i="17"/>
  <c r="E1273" i="17"/>
  <c r="F1272" i="17"/>
  <c r="E1272" i="17"/>
  <c r="F1271" i="17"/>
  <c r="E1271" i="17"/>
  <c r="F1270" i="17"/>
  <c r="E1270" i="17"/>
  <c r="F1210" i="17"/>
  <c r="E1210" i="17"/>
  <c r="F1209" i="17"/>
  <c r="E1209" i="17"/>
  <c r="F1208" i="17"/>
  <c r="E1208" i="17"/>
  <c r="F1152" i="17"/>
  <c r="E1152" i="17"/>
  <c r="F1151" i="17"/>
  <c r="E1151" i="17"/>
  <c r="F1150" i="17"/>
  <c r="E1150" i="17"/>
  <c r="F1149" i="17"/>
  <c r="E1149" i="17"/>
  <c r="F1148" i="17"/>
  <c r="E1148" i="17"/>
  <c r="F1079" i="17"/>
  <c r="E1079" i="17"/>
  <c r="F1078" i="17"/>
  <c r="E1078" i="17"/>
  <c r="F1077" i="17"/>
  <c r="E1077" i="17"/>
  <c r="F1076" i="17"/>
  <c r="E1076" i="17"/>
  <c r="F1011" i="17"/>
  <c r="E1011" i="17"/>
  <c r="F1010" i="17"/>
  <c r="E1010" i="17"/>
  <c r="F1009" i="17"/>
  <c r="E1009" i="17"/>
  <c r="F1008" i="17"/>
  <c r="E1008" i="17"/>
  <c r="F912" i="17"/>
  <c r="E912" i="17"/>
  <c r="F911" i="17"/>
  <c r="E911" i="17"/>
  <c r="F910" i="17"/>
  <c r="F910" i="24"/>
  <c r="E910" i="17"/>
  <c r="F909" i="17"/>
  <c r="E909" i="17"/>
  <c r="F908" i="17"/>
  <c r="F908" i="24"/>
  <c r="E908" i="17"/>
  <c r="F907" i="17"/>
  <c r="E907" i="17"/>
  <c r="F849" i="17"/>
  <c r="E849" i="17"/>
  <c r="E849" i="24"/>
  <c r="F848" i="17"/>
  <c r="E848" i="17"/>
  <c r="F847" i="17"/>
  <c r="E847" i="17"/>
  <c r="F846" i="17"/>
  <c r="E846" i="17"/>
  <c r="F768" i="17"/>
  <c r="E768" i="17"/>
  <c r="F767" i="17"/>
  <c r="E767" i="17"/>
  <c r="F766" i="17"/>
  <c r="E766" i="17"/>
  <c r="F765" i="17"/>
  <c r="E765" i="17"/>
  <c r="F764" i="17"/>
  <c r="E764" i="24"/>
  <c r="E764" i="17"/>
  <c r="F763" i="17"/>
  <c r="E763" i="17"/>
  <c r="F762" i="17"/>
  <c r="E762" i="17"/>
  <c r="F731" i="17"/>
  <c r="E731" i="17"/>
  <c r="F730" i="17"/>
  <c r="E730" i="17"/>
  <c r="F729" i="17"/>
  <c r="E729" i="17"/>
  <c r="F728" i="17"/>
  <c r="E728" i="17"/>
  <c r="F674" i="17"/>
  <c r="E674" i="17"/>
  <c r="F673" i="17"/>
  <c r="E673" i="17"/>
  <c r="F672" i="17"/>
  <c r="E672" i="17"/>
  <c r="F671" i="17"/>
  <c r="E671" i="17"/>
  <c r="F597" i="17"/>
  <c r="E597" i="17"/>
  <c r="F591" i="17"/>
  <c r="E591" i="17"/>
  <c r="F524" i="17"/>
  <c r="F524" i="24"/>
  <c r="E524" i="17"/>
  <c r="F523" i="17"/>
  <c r="F523" i="24"/>
  <c r="E523" i="17"/>
  <c r="F522" i="17"/>
  <c r="E522" i="17"/>
  <c r="E522" i="24"/>
  <c r="F521" i="17"/>
  <c r="E521" i="17"/>
  <c r="F520" i="17"/>
  <c r="E520" i="17"/>
  <c r="F447" i="17"/>
  <c r="F447" i="24"/>
  <c r="E447" i="17"/>
  <c r="F446" i="17"/>
  <c r="E446" i="24"/>
  <c r="E446" i="17"/>
  <c r="F445" i="17"/>
  <c r="E445" i="17"/>
  <c r="F444" i="17"/>
  <c r="F442" i="17"/>
  <c r="E444" i="17"/>
  <c r="F443" i="17"/>
  <c r="F443" i="24"/>
  <c r="E443" i="17"/>
  <c r="F374" i="17"/>
  <c r="E374" i="17"/>
  <c r="F373" i="17"/>
  <c r="E373" i="17"/>
  <c r="F369" i="17"/>
  <c r="E369" i="17"/>
  <c r="F298" i="17"/>
  <c r="E298" i="24"/>
  <c r="E298" i="17"/>
  <c r="F297" i="17"/>
  <c r="E297" i="17"/>
  <c r="F296" i="17"/>
  <c r="E296" i="17"/>
  <c r="F295" i="17"/>
  <c r="E295" i="17"/>
  <c r="F244" i="17"/>
  <c r="E244" i="17"/>
  <c r="F243" i="17"/>
  <c r="F243" i="24"/>
  <c r="E243" i="17"/>
  <c r="F242" i="17"/>
  <c r="E242" i="17"/>
  <c r="F241" i="17"/>
  <c r="E241" i="17"/>
  <c r="F240" i="17"/>
  <c r="E240" i="17"/>
  <c r="F143" i="17"/>
  <c r="E143" i="17"/>
  <c r="F84" i="17"/>
  <c r="E84" i="17"/>
  <c r="F83" i="17"/>
  <c r="E83" i="17"/>
  <c r="F82" i="17"/>
  <c r="E82" i="17"/>
  <c r="F81" i="17"/>
  <c r="E81" i="17"/>
  <c r="F13" i="17"/>
  <c r="E13" i="17"/>
  <c r="F12" i="17"/>
  <c r="F12" i="24"/>
  <c r="E12" i="17"/>
  <c r="F11" i="17"/>
  <c r="E11" i="17"/>
  <c r="E11" i="24"/>
  <c r="F9" i="17"/>
  <c r="E9" i="17"/>
  <c r="J1016" i="7"/>
  <c r="J719" i="7"/>
  <c r="J710" i="7"/>
  <c r="J122" i="7"/>
  <c r="J1324" i="7"/>
  <c r="G1304" i="7"/>
  <c r="K1304" i="7"/>
  <c r="J1315" i="7"/>
  <c r="J1177" i="7"/>
  <c r="G1177" i="7"/>
  <c r="J1023" i="7"/>
  <c r="J1020" i="7"/>
  <c r="J712" i="7"/>
  <c r="G712" i="7"/>
  <c r="G710" i="7"/>
  <c r="G719" i="7"/>
  <c r="J709" i="7"/>
  <c r="J676" i="7"/>
  <c r="G574" i="7"/>
  <c r="J573" i="7"/>
  <c r="J534" i="7"/>
  <c r="K534" i="7"/>
  <c r="G534" i="7"/>
  <c r="J563" i="7"/>
  <c r="J559" i="7"/>
  <c r="J356" i="7"/>
  <c r="K356" i="7"/>
  <c r="J353" i="7"/>
  <c r="G356" i="7"/>
  <c r="J187" i="7"/>
  <c r="J188" i="7"/>
  <c r="G187" i="7"/>
  <c r="J137" i="7"/>
  <c r="J104" i="7"/>
  <c r="G137" i="7"/>
  <c r="J129" i="7"/>
  <c r="J119" i="7"/>
  <c r="G129" i="7"/>
  <c r="J15" i="7"/>
  <c r="J71" i="7"/>
  <c r="G71" i="7"/>
  <c r="J75" i="7"/>
  <c r="J32" i="7"/>
  <c r="G32" i="7"/>
  <c r="J1247" i="7"/>
  <c r="J1259" i="7"/>
  <c r="J1225" i="7"/>
  <c r="J1235" i="7"/>
  <c r="G1237" i="7"/>
  <c r="J1237" i="7"/>
  <c r="J799" i="7"/>
  <c r="J772" i="7"/>
  <c r="G772" i="7"/>
  <c r="J825" i="7"/>
  <c r="J800" i="7"/>
  <c r="J802" i="7"/>
  <c r="J814" i="7"/>
  <c r="J808" i="7"/>
  <c r="J810" i="7"/>
  <c r="J828" i="7"/>
  <c r="J816" i="7"/>
  <c r="J811" i="7"/>
  <c r="K811" i="7"/>
  <c r="J801" i="7"/>
  <c r="J826" i="7"/>
  <c r="J806" i="7"/>
  <c r="J818" i="7"/>
  <c r="J824" i="7"/>
  <c r="J827" i="7"/>
  <c r="J823" i="7"/>
  <c r="J833" i="7"/>
  <c r="J831" i="7"/>
  <c r="J832" i="7"/>
  <c r="J796" i="7"/>
  <c r="J834" i="7"/>
  <c r="J840" i="7"/>
  <c r="J836" i="7"/>
  <c r="J839" i="7"/>
  <c r="J797" i="7"/>
  <c r="J812" i="7"/>
  <c r="J841" i="7"/>
  <c r="J838" i="7"/>
  <c r="J835" i="7"/>
  <c r="J830" i="7"/>
  <c r="J820" i="7"/>
  <c r="J819" i="7"/>
  <c r="G807" i="7"/>
  <c r="K807" i="7"/>
  <c r="J837" i="7"/>
  <c r="J798" i="7"/>
  <c r="G798" i="7"/>
  <c r="G812" i="7"/>
  <c r="G821" i="7"/>
  <c r="G842" i="7"/>
  <c r="K842" i="7"/>
  <c r="G839" i="7"/>
  <c r="J803" i="7"/>
  <c r="G836" i="7"/>
  <c r="G840" i="7"/>
  <c r="J804" i="7"/>
  <c r="K804" i="7"/>
  <c r="G804" i="7"/>
  <c r="G834" i="7"/>
  <c r="G796" i="7"/>
  <c r="G832" i="7"/>
  <c r="J813" i="7"/>
  <c r="G831" i="7"/>
  <c r="K831" i="7"/>
  <c r="J829" i="7"/>
  <c r="G833" i="7"/>
  <c r="K833" i="7"/>
  <c r="G823" i="7"/>
  <c r="K823" i="7"/>
  <c r="G827" i="7"/>
  <c r="K827" i="7"/>
  <c r="G824" i="7"/>
  <c r="G818" i="7"/>
  <c r="K818" i="7"/>
  <c r="G806" i="7"/>
  <c r="J822" i="7"/>
  <c r="G826" i="7"/>
  <c r="K826" i="7"/>
  <c r="G801" i="7"/>
  <c r="G811" i="7"/>
  <c r="G805" i="7"/>
  <c r="K805" i="7"/>
  <c r="G816" i="7"/>
  <c r="G828" i="7"/>
  <c r="G809" i="7"/>
  <c r="G810" i="7"/>
  <c r="K810" i="7"/>
  <c r="G808" i="7"/>
  <c r="G814" i="7"/>
  <c r="G802" i="7"/>
  <c r="J815" i="7"/>
  <c r="K815" i="7"/>
  <c r="G800" i="7"/>
  <c r="G825" i="7"/>
  <c r="J794" i="7"/>
  <c r="J793" i="7"/>
  <c r="K793" i="7"/>
  <c r="J792" i="7"/>
  <c r="G792" i="7"/>
  <c r="J791" i="7"/>
  <c r="G790" i="7"/>
  <c r="K790" i="7"/>
  <c r="J789" i="7"/>
  <c r="G789" i="7"/>
  <c r="J788" i="7"/>
  <c r="J787" i="7"/>
  <c r="K787" i="7"/>
  <c r="J786" i="7"/>
  <c r="G785" i="7"/>
  <c r="J784" i="7"/>
  <c r="J783" i="7"/>
  <c r="K783" i="7"/>
  <c r="G783" i="7"/>
  <c r="J782" i="7"/>
  <c r="G781" i="7"/>
  <c r="J780" i="7"/>
  <c r="K780" i="7"/>
  <c r="J779" i="7"/>
  <c r="G778" i="7"/>
  <c r="J777" i="7"/>
  <c r="J776" i="7"/>
  <c r="G774" i="7"/>
  <c r="G773" i="7"/>
  <c r="J771" i="7"/>
  <c r="G771" i="7"/>
  <c r="J770" i="7"/>
  <c r="G770" i="7"/>
  <c r="J624" i="7"/>
  <c r="G624" i="7"/>
  <c r="J640" i="7"/>
  <c r="G640" i="7"/>
  <c r="J632" i="7"/>
  <c r="G632" i="7"/>
  <c r="G644" i="7"/>
  <c r="J652" i="7"/>
  <c r="G652" i="7"/>
  <c r="J496" i="7"/>
  <c r="J513" i="7"/>
  <c r="J498" i="7"/>
  <c r="J506" i="7"/>
  <c r="J508" i="7"/>
  <c r="K508" i="7"/>
  <c r="J504" i="7"/>
  <c r="J512" i="7"/>
  <c r="J503" i="7"/>
  <c r="J514" i="7"/>
  <c r="K514" i="7"/>
  <c r="J511" i="7"/>
  <c r="J510" i="7"/>
  <c r="J502" i="7"/>
  <c r="J507" i="7"/>
  <c r="K507" i="7"/>
  <c r="J449" i="7"/>
  <c r="K449" i="7"/>
  <c r="J451" i="7"/>
  <c r="J452" i="7"/>
  <c r="J453" i="7"/>
  <c r="G500" i="7"/>
  <c r="J515" i="7"/>
  <c r="K515" i="7"/>
  <c r="G515" i="7"/>
  <c r="G507" i="7"/>
  <c r="G501" i="7"/>
  <c r="J509" i="7"/>
  <c r="G509" i="7"/>
  <c r="K509" i="7"/>
  <c r="G502" i="7"/>
  <c r="G510" i="7"/>
  <c r="G511" i="7"/>
  <c r="G514" i="7"/>
  <c r="G503" i="7"/>
  <c r="G512" i="7"/>
  <c r="G504" i="7"/>
  <c r="G508" i="7"/>
  <c r="G506" i="7"/>
  <c r="G498" i="7"/>
  <c r="G513" i="7"/>
  <c r="G505" i="7"/>
  <c r="G499" i="7"/>
  <c r="G496" i="7"/>
  <c r="G495" i="7"/>
  <c r="J494" i="7"/>
  <c r="G493" i="7"/>
  <c r="J492" i="7"/>
  <c r="J491" i="7"/>
  <c r="G490" i="7"/>
  <c r="J489" i="7"/>
  <c r="G489" i="7"/>
  <c r="J488" i="7"/>
  <c r="G487" i="7"/>
  <c r="J486" i="7"/>
  <c r="G486" i="7"/>
  <c r="G485" i="7"/>
  <c r="J483" i="7"/>
  <c r="G483" i="7"/>
  <c r="J484" i="7"/>
  <c r="J482" i="7"/>
  <c r="G481" i="7"/>
  <c r="K481" i="7"/>
  <c r="J479" i="7"/>
  <c r="G478" i="7"/>
  <c r="J477" i="7"/>
  <c r="G476" i="7"/>
  <c r="J475" i="7"/>
  <c r="G474" i="7"/>
  <c r="J473" i="7"/>
  <c r="G473" i="7"/>
  <c r="J472" i="7"/>
  <c r="G471" i="7"/>
  <c r="G470" i="7"/>
  <c r="G469" i="7"/>
  <c r="J468" i="7"/>
  <c r="J467" i="7"/>
  <c r="G467" i="7"/>
  <c r="G465" i="7"/>
  <c r="G464" i="7"/>
  <c r="G463" i="7"/>
  <c r="G462" i="7"/>
  <c r="G461" i="7"/>
  <c r="G460" i="7"/>
  <c r="G459" i="7"/>
  <c r="G458" i="7"/>
  <c r="G457" i="7"/>
  <c r="G455" i="7"/>
  <c r="G454" i="7"/>
  <c r="G453" i="7"/>
  <c r="G452" i="7"/>
  <c r="K452" i="7"/>
  <c r="G451" i="7"/>
  <c r="J450" i="7"/>
  <c r="G450" i="7"/>
  <c r="G449" i="7"/>
  <c r="J1124" i="7"/>
  <c r="J1144" i="7"/>
  <c r="J1129" i="7"/>
  <c r="J1131" i="7"/>
  <c r="J1133" i="7"/>
  <c r="J1134" i="7"/>
  <c r="J1135" i="7"/>
  <c r="J1140" i="7"/>
  <c r="J1138" i="7"/>
  <c r="J1127" i="7"/>
  <c r="J1125" i="7"/>
  <c r="J1142" i="7"/>
  <c r="J1123" i="7"/>
  <c r="G1136" i="7"/>
  <c r="G1135" i="7"/>
  <c r="J1141" i="7"/>
  <c r="K1141" i="7"/>
  <c r="G1141" i="7"/>
  <c r="G1130" i="7"/>
  <c r="J1099" i="7"/>
  <c r="J1122" i="7"/>
  <c r="K1122" i="7"/>
  <c r="J1143" i="7"/>
  <c r="G1123" i="7"/>
  <c r="G1142" i="7"/>
  <c r="K1142" i="7"/>
  <c r="G1137" i="7"/>
  <c r="K1137" i="7"/>
  <c r="G1125" i="7"/>
  <c r="J1139" i="7"/>
  <c r="G1127" i="7"/>
  <c r="K1127" i="7"/>
  <c r="G1138" i="7"/>
  <c r="G1140" i="7"/>
  <c r="G1134" i="7"/>
  <c r="G1133" i="7"/>
  <c r="G1128" i="7"/>
  <c r="G1126" i="7"/>
  <c r="G1132" i="7"/>
  <c r="G1131" i="7"/>
  <c r="G1129" i="7"/>
  <c r="G1144" i="7"/>
  <c r="G1124" i="7"/>
  <c r="J1121" i="7"/>
  <c r="G1120" i="7"/>
  <c r="G1119" i="7"/>
  <c r="G1118" i="7"/>
  <c r="G1117" i="7"/>
  <c r="G1116" i="7"/>
  <c r="G1115" i="7"/>
  <c r="G1114" i="7"/>
  <c r="G1113" i="7"/>
  <c r="J1111" i="7"/>
  <c r="G1111" i="7"/>
  <c r="G1110" i="7"/>
  <c r="G1109" i="7"/>
  <c r="G1108" i="7"/>
  <c r="G1107" i="7"/>
  <c r="G1106" i="7"/>
  <c r="J1105" i="7"/>
  <c r="G1104" i="7"/>
  <c r="J1103" i="7"/>
  <c r="G1102" i="7"/>
  <c r="J1101" i="7"/>
  <c r="G1100" i="7"/>
  <c r="G1098" i="7"/>
  <c r="G1097" i="7"/>
  <c r="G1096" i="7"/>
  <c r="G1095" i="7"/>
  <c r="G1094" i="7"/>
  <c r="G1093" i="7"/>
  <c r="J1092" i="7"/>
  <c r="G1091" i="7"/>
  <c r="J1090" i="7"/>
  <c r="G1089" i="7"/>
  <c r="J1088" i="7"/>
  <c r="G1088" i="7"/>
  <c r="J1087" i="7"/>
  <c r="G1087" i="7"/>
  <c r="J1086" i="7"/>
  <c r="G1085" i="7"/>
  <c r="G1084" i="7"/>
  <c r="G1083" i="7"/>
  <c r="G1082" i="7"/>
  <c r="G1081" i="7"/>
  <c r="G660" i="7"/>
  <c r="G649" i="7"/>
  <c r="G667" i="7"/>
  <c r="K667" i="7"/>
  <c r="G647" i="7"/>
  <c r="G662" i="7"/>
  <c r="G661" i="7"/>
  <c r="G659" i="7"/>
  <c r="G658" i="7"/>
  <c r="G656" i="7"/>
  <c r="G663" i="7"/>
  <c r="G648" i="7"/>
  <c r="G650" i="7"/>
  <c r="G623" i="7"/>
  <c r="G666" i="7"/>
  <c r="G635" i="7"/>
  <c r="G627" i="7"/>
  <c r="G645" i="7"/>
  <c r="G643" i="7"/>
  <c r="G641" i="7"/>
  <c r="G655" i="7"/>
  <c r="G654" i="7"/>
  <c r="G639" i="7"/>
  <c r="G631" i="7"/>
  <c r="G633" i="7"/>
  <c r="G646" i="7"/>
  <c r="G638" i="7"/>
  <c r="G617" i="7"/>
  <c r="G621" i="7"/>
  <c r="G657" i="7"/>
  <c r="G642" i="7"/>
  <c r="K642" i="7"/>
  <c r="G636" i="7"/>
  <c r="G634" i="7"/>
  <c r="G622" i="7"/>
  <c r="G620" i="7"/>
  <c r="G610" i="7"/>
  <c r="G608" i="7"/>
  <c r="G603" i="7"/>
  <c r="G600" i="7"/>
  <c r="G606" i="7"/>
  <c r="J634" i="7"/>
  <c r="K634" i="7"/>
  <c r="J636" i="7"/>
  <c r="J642" i="7"/>
  <c r="J657" i="7"/>
  <c r="K657" i="7"/>
  <c r="J621" i="7"/>
  <c r="J617" i="7"/>
  <c r="J638" i="7"/>
  <c r="J646" i="7"/>
  <c r="J633" i="7"/>
  <c r="J639" i="7"/>
  <c r="J655" i="7"/>
  <c r="J641" i="7"/>
  <c r="J643" i="7"/>
  <c r="J645" i="7"/>
  <c r="J627" i="7"/>
  <c r="K627" i="7"/>
  <c r="J635" i="7"/>
  <c r="J666" i="7"/>
  <c r="J623" i="7"/>
  <c r="J650" i="7"/>
  <c r="K650" i="7"/>
  <c r="J648" i="7"/>
  <c r="K648" i="7"/>
  <c r="J663" i="7"/>
  <c r="K663" i="7"/>
  <c r="J656" i="7"/>
  <c r="J658" i="7"/>
  <c r="K658" i="7"/>
  <c r="J659" i="7"/>
  <c r="J661" i="7"/>
  <c r="J662" i="7"/>
  <c r="J647" i="7"/>
  <c r="J667" i="7"/>
  <c r="J649" i="7"/>
  <c r="G629" i="7"/>
  <c r="J613" i="7"/>
  <c r="J611" i="7"/>
  <c r="J618" i="7"/>
  <c r="J615" i="7"/>
  <c r="J614" i="7"/>
  <c r="G664" i="7"/>
  <c r="J612" i="7"/>
  <c r="J606" i="7"/>
  <c r="J607" i="7"/>
  <c r="K607" i="7"/>
  <c r="G607" i="7"/>
  <c r="G611" i="7"/>
  <c r="J602" i="7"/>
  <c r="J609" i="7"/>
  <c r="G609" i="7"/>
  <c r="J616" i="7"/>
  <c r="J601" i="7"/>
  <c r="J604" i="7"/>
  <c r="J605" i="7"/>
  <c r="J664" i="7"/>
  <c r="J653" i="7"/>
  <c r="G653" i="7"/>
  <c r="J637" i="7"/>
  <c r="K637" i="7"/>
  <c r="G637" i="7"/>
  <c r="J630" i="7"/>
  <c r="G630" i="7"/>
  <c r="J629" i="7"/>
  <c r="J626" i="7"/>
  <c r="G626" i="7"/>
  <c r="G625" i="7"/>
  <c r="J619" i="7"/>
  <c r="K619" i="7"/>
  <c r="G619" i="7"/>
  <c r="J665" i="7"/>
  <c r="G665" i="7"/>
  <c r="J628" i="7"/>
  <c r="G628" i="7"/>
  <c r="J651" i="7"/>
  <c r="G651" i="7"/>
  <c r="G724" i="7"/>
  <c r="G716" i="7"/>
  <c r="G714" i="7"/>
  <c r="G721" i="7"/>
  <c r="G711" i="7"/>
  <c r="K711" i="7"/>
  <c r="G701" i="7"/>
  <c r="G723" i="7"/>
  <c r="G706" i="7"/>
  <c r="G718" i="7"/>
  <c r="G705" i="7"/>
  <c r="G707" i="7"/>
  <c r="G704" i="7"/>
  <c r="G703" i="7"/>
  <c r="G702" i="7"/>
  <c r="G700" i="7"/>
  <c r="G688" i="7"/>
  <c r="G683" i="7"/>
  <c r="J721" i="7"/>
  <c r="J714" i="7"/>
  <c r="K714" i="7"/>
  <c r="J716" i="7"/>
  <c r="J724" i="7"/>
  <c r="J702" i="7"/>
  <c r="J703" i="7"/>
  <c r="K703" i="7"/>
  <c r="J704" i="7"/>
  <c r="J707" i="7"/>
  <c r="K707" i="7"/>
  <c r="J705" i="7"/>
  <c r="J718" i="7"/>
  <c r="J706" i="7"/>
  <c r="J723" i="7"/>
  <c r="K723" i="7"/>
  <c r="J711" i="7"/>
  <c r="J713" i="7"/>
  <c r="J722" i="7"/>
  <c r="J715" i="7"/>
  <c r="K715" i="7"/>
  <c r="G715" i="7"/>
  <c r="J708" i="7"/>
  <c r="J717" i="7"/>
  <c r="J695" i="7"/>
  <c r="G713" i="7"/>
  <c r="J720" i="7"/>
  <c r="J699" i="7"/>
  <c r="G699" i="7"/>
  <c r="J698" i="7"/>
  <c r="J697" i="7"/>
  <c r="J696" i="7"/>
  <c r="G696" i="7"/>
  <c r="J694" i="7"/>
  <c r="J692" i="7"/>
  <c r="J691" i="7"/>
  <c r="G691" i="7"/>
  <c r="J690" i="7"/>
  <c r="J689" i="7"/>
  <c r="J687" i="7"/>
  <c r="J686" i="7"/>
  <c r="G686" i="7"/>
  <c r="J685" i="7"/>
  <c r="J684" i="7"/>
  <c r="J681" i="7"/>
  <c r="G681" i="7"/>
  <c r="J680" i="7"/>
  <c r="J679" i="7"/>
  <c r="J678" i="7"/>
  <c r="J677" i="7"/>
  <c r="G677" i="7"/>
  <c r="G733" i="7"/>
  <c r="J734" i="7"/>
  <c r="J736" i="7"/>
  <c r="G737" i="7"/>
  <c r="J738" i="7"/>
  <c r="J739" i="7"/>
  <c r="J740" i="7"/>
  <c r="J987" i="7"/>
  <c r="G987" i="7"/>
  <c r="J951" i="7"/>
  <c r="J952" i="7"/>
  <c r="K952" i="7"/>
  <c r="J997" i="7"/>
  <c r="J978" i="7"/>
  <c r="J980" i="7"/>
  <c r="J983" i="7"/>
  <c r="J953" i="7"/>
  <c r="J998" i="7"/>
  <c r="J975" i="7"/>
  <c r="J999" i="7"/>
  <c r="J960" i="7"/>
  <c r="J965" i="7"/>
  <c r="J966" i="7"/>
  <c r="J968" i="7"/>
  <c r="K968" i="7"/>
  <c r="J990" i="7"/>
  <c r="J963" i="7"/>
  <c r="J972" i="7"/>
  <c r="K972" i="7"/>
  <c r="J1001" i="7"/>
  <c r="J1003" i="7"/>
  <c r="J974" i="7"/>
  <c r="J993" i="7"/>
  <c r="J976" i="7"/>
  <c r="J1002" i="7"/>
  <c r="J958" i="7"/>
  <c r="J984" i="7"/>
  <c r="J985" i="7"/>
  <c r="J992" i="7"/>
  <c r="K992" i="7"/>
  <c r="J973" i="7"/>
  <c r="J986" i="7"/>
  <c r="J971" i="7"/>
  <c r="J1000" i="7"/>
  <c r="J981" i="7"/>
  <c r="J955" i="7"/>
  <c r="J995" i="7"/>
  <c r="J996" i="7"/>
  <c r="J962" i="7"/>
  <c r="J991" i="7"/>
  <c r="G926" i="7"/>
  <c r="G982" i="7"/>
  <c r="J1004" i="7"/>
  <c r="J942" i="7"/>
  <c r="J994" i="7"/>
  <c r="J988" i="7"/>
  <c r="G988" i="7"/>
  <c r="J970" i="7"/>
  <c r="G970" i="7"/>
  <c r="J956" i="7"/>
  <c r="G956" i="7"/>
  <c r="G960" i="7"/>
  <c r="J954" i="7"/>
  <c r="G954" i="7"/>
  <c r="J959" i="7"/>
  <c r="G959" i="7"/>
  <c r="G915" i="7"/>
  <c r="J925" i="7"/>
  <c r="G925" i="7"/>
  <c r="G991" i="7"/>
  <c r="G962" i="7"/>
  <c r="G996" i="7"/>
  <c r="G995" i="7"/>
  <c r="G955" i="7"/>
  <c r="G981" i="7"/>
  <c r="G1000" i="7"/>
  <c r="J979" i="7"/>
  <c r="K979" i="7"/>
  <c r="G979" i="7"/>
  <c r="G971" i="7"/>
  <c r="G986" i="7"/>
  <c r="G973" i="7"/>
  <c r="G992" i="7"/>
  <c r="G985" i="7"/>
  <c r="G984" i="7"/>
  <c r="K984" i="7"/>
  <c r="G977" i="7"/>
  <c r="G958" i="7"/>
  <c r="K958" i="7"/>
  <c r="G1002" i="7"/>
  <c r="K1002" i="7"/>
  <c r="G976" i="7"/>
  <c r="G993" i="7"/>
  <c r="G974" i="7"/>
  <c r="G1003" i="7"/>
  <c r="K1003" i="7"/>
  <c r="G1001" i="7"/>
  <c r="K1001" i="7"/>
  <c r="G972" i="7"/>
  <c r="G963" i="7"/>
  <c r="G990" i="7"/>
  <c r="G968" i="7"/>
  <c r="G966" i="7"/>
  <c r="G965" i="7"/>
  <c r="G969" i="7"/>
  <c r="J957" i="7"/>
  <c r="K957" i="7"/>
  <c r="G957" i="7"/>
  <c r="J961" i="7"/>
  <c r="K961" i="7"/>
  <c r="G961" i="7"/>
  <c r="G999" i="7"/>
  <c r="G975" i="7"/>
  <c r="G998" i="7"/>
  <c r="J989" i="7"/>
  <c r="K989" i="7"/>
  <c r="G989" i="7"/>
  <c r="G953" i="7"/>
  <c r="G983" i="7"/>
  <c r="G980" i="7"/>
  <c r="G978" i="7"/>
  <c r="G997" i="7"/>
  <c r="K997" i="7"/>
  <c r="G952" i="7"/>
  <c r="G964" i="7"/>
  <c r="G951" i="7"/>
  <c r="J950" i="7"/>
  <c r="J949" i="7"/>
  <c r="K949" i="7"/>
  <c r="G949" i="7"/>
  <c r="G948" i="7"/>
  <c r="J947" i="7"/>
  <c r="G947" i="7"/>
  <c r="J946" i="7"/>
  <c r="G945" i="7"/>
  <c r="G944" i="7"/>
  <c r="G943" i="7"/>
  <c r="J941" i="7"/>
  <c r="J940" i="7"/>
  <c r="G940" i="7"/>
  <c r="J939" i="7"/>
  <c r="G939" i="7"/>
  <c r="G938" i="7"/>
  <c r="G937" i="7"/>
  <c r="G936" i="7"/>
  <c r="G935" i="7"/>
  <c r="J934" i="7"/>
  <c r="G934" i="7"/>
  <c r="J933" i="7"/>
  <c r="G933" i="7"/>
  <c r="J932" i="7"/>
  <c r="J931" i="7"/>
  <c r="J929" i="7"/>
  <c r="K929" i="7"/>
  <c r="G929" i="7"/>
  <c r="J928" i="7"/>
  <c r="G928" i="7"/>
  <c r="J927" i="7"/>
  <c r="J924" i="7"/>
  <c r="G924" i="7"/>
  <c r="G923" i="7"/>
  <c r="J922" i="7"/>
  <c r="J921" i="7"/>
  <c r="J920" i="7"/>
  <c r="G919" i="7"/>
  <c r="J917" i="7"/>
  <c r="G917" i="7"/>
  <c r="J916" i="7"/>
  <c r="J914" i="7"/>
  <c r="G236" i="7"/>
  <c r="J236" i="7"/>
  <c r="K236" i="7"/>
  <c r="J152" i="7"/>
  <c r="G234" i="7"/>
  <c r="G230" i="7"/>
  <c r="G229" i="7"/>
  <c r="G227" i="7"/>
  <c r="G226" i="7"/>
  <c r="G223" i="7"/>
  <c r="G221" i="7"/>
  <c r="G233" i="7"/>
  <c r="G217" i="7"/>
  <c r="G231" i="7"/>
  <c r="G220" i="7"/>
  <c r="G232" i="7"/>
  <c r="G235" i="7"/>
  <c r="G228" i="7"/>
  <c r="G224" i="7"/>
  <c r="G225" i="7"/>
  <c r="K225" i="7"/>
  <c r="G218" i="7"/>
  <c r="G216" i="7"/>
  <c r="G215" i="7"/>
  <c r="G214" i="7"/>
  <c r="G213" i="7"/>
  <c r="G212" i="7"/>
  <c r="G208" i="7"/>
  <c r="G207" i="7"/>
  <c r="G206" i="7"/>
  <c r="G205" i="7"/>
  <c r="G204" i="7"/>
  <c r="G203" i="7"/>
  <c r="G200" i="7"/>
  <c r="G199" i="7"/>
  <c r="G197" i="7"/>
  <c r="G196" i="7"/>
  <c r="G195" i="7"/>
  <c r="G194" i="7"/>
  <c r="G192" i="7"/>
  <c r="G191" i="7"/>
  <c r="K191" i="7"/>
  <c r="G190" i="7"/>
  <c r="G186" i="7"/>
  <c r="G184" i="7"/>
  <c r="G181" i="7"/>
  <c r="G180" i="7"/>
  <c r="G178" i="7"/>
  <c r="G177" i="7"/>
  <c r="G174" i="7"/>
  <c r="G173" i="7"/>
  <c r="G166" i="7"/>
  <c r="G164" i="7"/>
  <c r="G161" i="7"/>
  <c r="G160" i="7"/>
  <c r="G159" i="7"/>
  <c r="G158" i="7"/>
  <c r="G157" i="7"/>
  <c r="G156" i="7"/>
  <c r="G155" i="7"/>
  <c r="G152" i="7"/>
  <c r="J176" i="7"/>
  <c r="J222" i="7"/>
  <c r="G222" i="7"/>
  <c r="J219" i="7"/>
  <c r="J215" i="7"/>
  <c r="J212" i="7"/>
  <c r="J211" i="7"/>
  <c r="J210" i="7"/>
  <c r="J209" i="7"/>
  <c r="J202" i="7"/>
  <c r="J201" i="7"/>
  <c r="J198" i="7"/>
  <c r="J196" i="7"/>
  <c r="J193" i="7"/>
  <c r="J189" i="7"/>
  <c r="G189" i="7"/>
  <c r="G185" i="7"/>
  <c r="J183" i="7"/>
  <c r="G183" i="7"/>
  <c r="J182" i="7"/>
  <c r="G182" i="7"/>
  <c r="J179" i="7"/>
  <c r="J175" i="7"/>
  <c r="K175" i="7"/>
  <c r="G175" i="7"/>
  <c r="J174" i="7"/>
  <c r="J172" i="7"/>
  <c r="J171" i="7"/>
  <c r="J170" i="7"/>
  <c r="J169" i="7"/>
  <c r="J168" i="7"/>
  <c r="J167" i="7"/>
  <c r="J165" i="7"/>
  <c r="G165" i="7"/>
  <c r="J163" i="7"/>
  <c r="J162" i="7"/>
  <c r="J154" i="7"/>
  <c r="J153" i="7"/>
  <c r="G151" i="7"/>
  <c r="J218" i="7"/>
  <c r="J225" i="7"/>
  <c r="J224" i="7"/>
  <c r="J228" i="7"/>
  <c r="J235" i="7"/>
  <c r="J232" i="7"/>
  <c r="J220" i="7"/>
  <c r="J231" i="7"/>
  <c r="J217" i="7"/>
  <c r="K217" i="7"/>
  <c r="J233" i="7"/>
  <c r="J226" i="7"/>
  <c r="J227" i="7"/>
  <c r="J229" i="7"/>
  <c r="J230" i="7"/>
  <c r="K230" i="7"/>
  <c r="J1188" i="7"/>
  <c r="J1198" i="7"/>
  <c r="J1193" i="7"/>
  <c r="J1192" i="7"/>
  <c r="J1195" i="7"/>
  <c r="J1197" i="7"/>
  <c r="J1201" i="7"/>
  <c r="J1203" i="7"/>
  <c r="J1200" i="7"/>
  <c r="G1198" i="7"/>
  <c r="J1160" i="7"/>
  <c r="K1160" i="7"/>
  <c r="G1160" i="7"/>
  <c r="G1184" i="7"/>
  <c r="G1194" i="7"/>
  <c r="J1194" i="7"/>
  <c r="J1154" i="7"/>
  <c r="G1200" i="7"/>
  <c r="G1204" i="7"/>
  <c r="K1204" i="7"/>
  <c r="G1203" i="7"/>
  <c r="J1199" i="7"/>
  <c r="G1199" i="7"/>
  <c r="G1201" i="7"/>
  <c r="J1202" i="7"/>
  <c r="G1202" i="7"/>
  <c r="G1197" i="7"/>
  <c r="G1195" i="7"/>
  <c r="G1192" i="7"/>
  <c r="G1193" i="7"/>
  <c r="G1190" i="7"/>
  <c r="J1189" i="7"/>
  <c r="G1188" i="7"/>
  <c r="G1187" i="7"/>
  <c r="G1186" i="7"/>
  <c r="G1185" i="7"/>
  <c r="J1182" i="7"/>
  <c r="J1181" i="7"/>
  <c r="G1180" i="7"/>
  <c r="J1179" i="7"/>
  <c r="J1178" i="7"/>
  <c r="K1178" i="7"/>
  <c r="G1178" i="7"/>
  <c r="G1176" i="7"/>
  <c r="K1176" i="7"/>
  <c r="G1175" i="7"/>
  <c r="G1174" i="7"/>
  <c r="J1173" i="7"/>
  <c r="G1173" i="7"/>
  <c r="G1171" i="7"/>
  <c r="J1169" i="7"/>
  <c r="G1168" i="7"/>
  <c r="G1167" i="7"/>
  <c r="G1166" i="7"/>
  <c r="J1165" i="7"/>
  <c r="G1165" i="7"/>
  <c r="G1164" i="7"/>
  <c r="G1163" i="7"/>
  <c r="G1162" i="7"/>
  <c r="J1161" i="7"/>
  <c r="G1161" i="7"/>
  <c r="J1158" i="7"/>
  <c r="G1157" i="7"/>
  <c r="J1156" i="7"/>
  <c r="K1156" i="7"/>
  <c r="G1156" i="7"/>
  <c r="G1155" i="7"/>
  <c r="G1289" i="7"/>
  <c r="G1301" i="7"/>
  <c r="G1324" i="7"/>
  <c r="G1282" i="7"/>
  <c r="G1299" i="7"/>
  <c r="E8" i="17"/>
  <c r="F8" i="17"/>
  <c r="G7" i="7"/>
  <c r="N7" i="7"/>
  <c r="G16" i="7"/>
  <c r="J16" i="7"/>
  <c r="K16" i="7"/>
  <c r="G17" i="7"/>
  <c r="J17" i="7"/>
  <c r="G18" i="7"/>
  <c r="J18" i="7"/>
  <c r="K18" i="7"/>
  <c r="G19" i="7"/>
  <c r="J19" i="7"/>
  <c r="G20" i="7"/>
  <c r="K20" i="7"/>
  <c r="G21" i="7"/>
  <c r="J21" i="7"/>
  <c r="G22" i="7"/>
  <c r="J22" i="7"/>
  <c r="G23" i="7"/>
  <c r="J23" i="7"/>
  <c r="G24" i="7"/>
  <c r="J24" i="7"/>
  <c r="G25" i="7"/>
  <c r="J25" i="7"/>
  <c r="G26" i="7"/>
  <c r="J26" i="7"/>
  <c r="K26" i="7"/>
  <c r="G27" i="7"/>
  <c r="J27" i="7"/>
  <c r="G28" i="7"/>
  <c r="K28" i="7"/>
  <c r="J28" i="7"/>
  <c r="G29" i="7"/>
  <c r="J29" i="7"/>
  <c r="G30" i="7"/>
  <c r="J30" i="7"/>
  <c r="K30" i="7"/>
  <c r="G31" i="7"/>
  <c r="J31" i="7"/>
  <c r="G33" i="7"/>
  <c r="G34" i="7"/>
  <c r="K34" i="7"/>
  <c r="J34" i="7"/>
  <c r="G35" i="7"/>
  <c r="J35" i="7"/>
  <c r="G36" i="7"/>
  <c r="J36" i="7"/>
  <c r="G37" i="7"/>
  <c r="J37" i="7"/>
  <c r="G38" i="7"/>
  <c r="K38" i="7"/>
  <c r="J38" i="7"/>
  <c r="G39" i="7"/>
  <c r="K39" i="7"/>
  <c r="J39" i="7"/>
  <c r="G40" i="7"/>
  <c r="J40" i="7"/>
  <c r="G41" i="7"/>
  <c r="G42" i="7"/>
  <c r="G43" i="7"/>
  <c r="J43" i="7"/>
  <c r="G44" i="7"/>
  <c r="K44" i="7"/>
  <c r="J44" i="7"/>
  <c r="G45" i="7"/>
  <c r="J45" i="7"/>
  <c r="G46" i="7"/>
  <c r="J46" i="7"/>
  <c r="K46" i="7"/>
  <c r="G47" i="7"/>
  <c r="G48" i="7"/>
  <c r="J48" i="7"/>
  <c r="G49" i="7"/>
  <c r="J49" i="7"/>
  <c r="G57" i="7"/>
  <c r="J57" i="7"/>
  <c r="K57" i="7"/>
  <c r="G51" i="7"/>
  <c r="J51" i="7"/>
  <c r="K51" i="7"/>
  <c r="G50" i="7"/>
  <c r="J50" i="7"/>
  <c r="G69" i="7"/>
  <c r="J69" i="7"/>
  <c r="G53" i="7"/>
  <c r="J53" i="7"/>
  <c r="K53" i="7"/>
  <c r="G59" i="7"/>
  <c r="J59" i="7"/>
  <c r="K59" i="7"/>
  <c r="G68" i="7"/>
  <c r="J68" i="7"/>
  <c r="K68" i="7"/>
  <c r="G56" i="7"/>
  <c r="J56" i="7"/>
  <c r="G67" i="7"/>
  <c r="J67" i="7"/>
  <c r="G58" i="7"/>
  <c r="J58" i="7"/>
  <c r="G54" i="7"/>
  <c r="J54" i="7"/>
  <c r="K54" i="7"/>
  <c r="G60" i="7"/>
  <c r="J60" i="7"/>
  <c r="K60" i="7"/>
  <c r="G61" i="7"/>
  <c r="J61" i="7"/>
  <c r="K61" i="7"/>
  <c r="G77" i="7"/>
  <c r="J77" i="7"/>
  <c r="G52" i="7"/>
  <c r="J52" i="7"/>
  <c r="K52" i="7"/>
  <c r="G62" i="7"/>
  <c r="K62" i="7"/>
  <c r="J62" i="7"/>
  <c r="G65" i="7"/>
  <c r="J65" i="7"/>
  <c r="K65" i="7"/>
  <c r="G66" i="7"/>
  <c r="J66" i="7"/>
  <c r="G70" i="7"/>
  <c r="K70" i="7"/>
  <c r="J70" i="7"/>
  <c r="G63" i="7"/>
  <c r="J63" i="7"/>
  <c r="G72" i="7"/>
  <c r="J72" i="7"/>
  <c r="K72" i="7"/>
  <c r="G73" i="7"/>
  <c r="J73" i="7"/>
  <c r="G74" i="7"/>
  <c r="K74" i="7"/>
  <c r="J74" i="7"/>
  <c r="G64" i="7"/>
  <c r="J64" i="7"/>
  <c r="G55" i="7"/>
  <c r="J55" i="7"/>
  <c r="G76" i="7"/>
  <c r="J76" i="7"/>
  <c r="K76" i="7"/>
  <c r="M80" i="7"/>
  <c r="N80" i="7"/>
  <c r="G86" i="7"/>
  <c r="J86" i="7"/>
  <c r="G87" i="7"/>
  <c r="J87" i="7"/>
  <c r="G88" i="7"/>
  <c r="K88" i="7"/>
  <c r="G89" i="7"/>
  <c r="J89" i="7"/>
  <c r="G90" i="7"/>
  <c r="J90" i="7"/>
  <c r="J91" i="7"/>
  <c r="G92" i="7"/>
  <c r="J92" i="7"/>
  <c r="G93" i="7"/>
  <c r="J93" i="7"/>
  <c r="K93" i="7"/>
  <c r="G94" i="7"/>
  <c r="J94" i="7"/>
  <c r="J95" i="7"/>
  <c r="G96" i="7"/>
  <c r="J96" i="7"/>
  <c r="G97" i="7"/>
  <c r="J98" i="7"/>
  <c r="J99" i="7"/>
  <c r="G101" i="7"/>
  <c r="J101" i="7"/>
  <c r="K101" i="7"/>
  <c r="G102" i="7"/>
  <c r="J102" i="7"/>
  <c r="G103" i="7"/>
  <c r="J103" i="7"/>
  <c r="K103" i="7"/>
  <c r="J106" i="7"/>
  <c r="G107" i="7"/>
  <c r="J107" i="7"/>
  <c r="K107" i="7"/>
  <c r="J108" i="7"/>
  <c r="G109" i="7"/>
  <c r="J109" i="7"/>
  <c r="J110" i="7"/>
  <c r="G111" i="7"/>
  <c r="J111" i="7"/>
  <c r="G112" i="7"/>
  <c r="J112" i="7"/>
  <c r="K112" i="7"/>
  <c r="G113" i="7"/>
  <c r="J113" i="7"/>
  <c r="J114" i="7"/>
  <c r="K114" i="7"/>
  <c r="J115" i="7"/>
  <c r="G116" i="7"/>
  <c r="J116" i="7"/>
  <c r="J117" i="7"/>
  <c r="G118" i="7"/>
  <c r="J118" i="7"/>
  <c r="J121" i="7"/>
  <c r="G124" i="7"/>
  <c r="J124" i="7"/>
  <c r="K124" i="7"/>
  <c r="G131" i="7"/>
  <c r="J131" i="7"/>
  <c r="G126" i="7"/>
  <c r="J126" i="7"/>
  <c r="G132" i="7"/>
  <c r="J132" i="7"/>
  <c r="G128" i="7"/>
  <c r="J128" i="7"/>
  <c r="K128" i="7"/>
  <c r="G134" i="7"/>
  <c r="J123" i="7"/>
  <c r="G135" i="7"/>
  <c r="J135" i="7"/>
  <c r="G138" i="7"/>
  <c r="J138" i="7"/>
  <c r="G127" i="7"/>
  <c r="J127" i="7"/>
  <c r="G139" i="7"/>
  <c r="G130" i="7"/>
  <c r="J130" i="7"/>
  <c r="G133" i="7"/>
  <c r="J133" i="7"/>
  <c r="G136" i="7"/>
  <c r="J136" i="7"/>
  <c r="J151" i="7"/>
  <c r="K151" i="7"/>
  <c r="J155" i="7"/>
  <c r="J156" i="7"/>
  <c r="J157" i="7"/>
  <c r="J158" i="7"/>
  <c r="K158" i="7"/>
  <c r="J159" i="7"/>
  <c r="J160" i="7"/>
  <c r="J164" i="7"/>
  <c r="K164" i="7"/>
  <c r="J166" i="7"/>
  <c r="J173" i="7"/>
  <c r="J177" i="7"/>
  <c r="J178" i="7"/>
  <c r="K178" i="7"/>
  <c r="J180" i="7"/>
  <c r="J181" i="7"/>
  <c r="J184" i="7"/>
  <c r="J191" i="7"/>
  <c r="J194" i="7"/>
  <c r="J195" i="7"/>
  <c r="J197" i="7"/>
  <c r="K197" i="7"/>
  <c r="J199" i="7"/>
  <c r="J200" i="7"/>
  <c r="J203" i="7"/>
  <c r="J204" i="7"/>
  <c r="J205" i="7"/>
  <c r="J206" i="7"/>
  <c r="J207" i="7"/>
  <c r="J208" i="7"/>
  <c r="K208" i="7"/>
  <c r="J213" i="7"/>
  <c r="M239" i="7"/>
  <c r="N239" i="7"/>
  <c r="G246" i="7"/>
  <c r="G247" i="7"/>
  <c r="J247" i="7"/>
  <c r="G248" i="7"/>
  <c r="J248" i="7"/>
  <c r="G250" i="7"/>
  <c r="J250" i="7"/>
  <c r="K250" i="7"/>
  <c r="G251" i="7"/>
  <c r="G252" i="7"/>
  <c r="J252" i="7"/>
  <c r="G253" i="7"/>
  <c r="J253" i="7"/>
  <c r="G254" i="7"/>
  <c r="J254" i="7"/>
  <c r="G255" i="7"/>
  <c r="G256" i="7"/>
  <c r="J257" i="7"/>
  <c r="G258" i="7"/>
  <c r="J258" i="7"/>
  <c r="J284" i="7"/>
  <c r="G269" i="7"/>
  <c r="J265" i="7"/>
  <c r="G288" i="7"/>
  <c r="J288" i="7"/>
  <c r="G280" i="7"/>
  <c r="J280" i="7"/>
  <c r="G291" i="7"/>
  <c r="G283" i="7"/>
  <c r="J283" i="7"/>
  <c r="G278" i="7"/>
  <c r="J278" i="7"/>
  <c r="J260" i="7"/>
  <c r="J264" i="7"/>
  <c r="K264" i="7"/>
  <c r="G281" i="7"/>
  <c r="J281" i="7"/>
  <c r="K281" i="7"/>
  <c r="G263" i="7"/>
  <c r="K263" i="7"/>
  <c r="J263" i="7"/>
  <c r="G289" i="7"/>
  <c r="J289" i="7"/>
  <c r="G285" i="7"/>
  <c r="J277" i="7"/>
  <c r="G271" i="7"/>
  <c r="J271" i="7"/>
  <c r="K271" i="7"/>
  <c r="G276" i="7"/>
  <c r="G266" i="7"/>
  <c r="J266" i="7"/>
  <c r="J282" i="7"/>
  <c r="G274" i="7"/>
  <c r="J274" i="7"/>
  <c r="G290" i="7"/>
  <c r="J290" i="7"/>
  <c r="G262" i="7"/>
  <c r="G279" i="7"/>
  <c r="K279" i="7"/>
  <c r="J279" i="7"/>
  <c r="G261" i="7"/>
  <c r="G287" i="7"/>
  <c r="G267" i="7"/>
  <c r="J267" i="7"/>
  <c r="G272" i="7"/>
  <c r="J272" i="7"/>
  <c r="K272" i="7"/>
  <c r="G259" i="7"/>
  <c r="J259" i="7"/>
  <c r="M294" i="7"/>
  <c r="N294" i="7"/>
  <c r="G300" i="7"/>
  <c r="J300" i="7"/>
  <c r="G301" i="7"/>
  <c r="K301" i="7"/>
  <c r="J301" i="7"/>
  <c r="G302" i="7"/>
  <c r="J302" i="7"/>
  <c r="G303" i="7"/>
  <c r="J303" i="7"/>
  <c r="G304" i="7"/>
  <c r="J304" i="7"/>
  <c r="G305" i="7"/>
  <c r="J305" i="7"/>
  <c r="G306" i="7"/>
  <c r="J306" i="7"/>
  <c r="J307" i="7"/>
  <c r="G308" i="7"/>
  <c r="J308" i="7"/>
  <c r="K308" i="7"/>
  <c r="G309" i="7"/>
  <c r="K309" i="7"/>
  <c r="J309" i="7"/>
  <c r="J310" i="7"/>
  <c r="G311" i="7"/>
  <c r="J311" i="7"/>
  <c r="K311" i="7"/>
  <c r="J312" i="7"/>
  <c r="J313" i="7"/>
  <c r="G314" i="7"/>
  <c r="J314" i="7"/>
  <c r="K314" i="7"/>
  <c r="G315" i="7"/>
  <c r="J315" i="7"/>
  <c r="G316" i="7"/>
  <c r="J316" i="7"/>
  <c r="G317" i="7"/>
  <c r="J317" i="7"/>
  <c r="J318" i="7"/>
  <c r="J320" i="7"/>
  <c r="G321" i="7"/>
  <c r="J321" i="7"/>
  <c r="J322" i="7"/>
  <c r="G323" i="7"/>
  <c r="J323" i="7"/>
  <c r="G324" i="7"/>
  <c r="K324" i="7"/>
  <c r="J324" i="7"/>
  <c r="G325" i="7"/>
  <c r="J325" i="7"/>
  <c r="J326" i="7"/>
  <c r="J327" i="7"/>
  <c r="J329" i="7"/>
  <c r="J330" i="7"/>
  <c r="G331" i="7"/>
  <c r="J331" i="7"/>
  <c r="K331" i="7"/>
  <c r="J332" i="7"/>
  <c r="G333" i="7"/>
  <c r="J333" i="7"/>
  <c r="G334" i="7"/>
  <c r="J334" i="7"/>
  <c r="G335" i="7"/>
  <c r="J335" i="7"/>
  <c r="G336" i="7"/>
  <c r="J336" i="7"/>
  <c r="G337" i="7"/>
  <c r="J337" i="7"/>
  <c r="J338" i="7"/>
  <c r="J339" i="7"/>
  <c r="J340" i="7"/>
  <c r="G342" i="7"/>
  <c r="J342" i="7"/>
  <c r="K342" i="7"/>
  <c r="G343" i="7"/>
  <c r="J343" i="7"/>
  <c r="G344" i="7"/>
  <c r="J344" i="7"/>
  <c r="G346" i="7"/>
  <c r="J346" i="7"/>
  <c r="K346" i="7"/>
  <c r="G347" i="7"/>
  <c r="K347" i="7"/>
  <c r="J347" i="7"/>
  <c r="G348" i="7"/>
  <c r="G349" i="7"/>
  <c r="J349" i="7"/>
  <c r="G350" i="7"/>
  <c r="K350" i="7"/>
  <c r="J350" i="7"/>
  <c r="G351" i="7"/>
  <c r="K351" i="7"/>
  <c r="J351" i="7"/>
  <c r="G352" i="7"/>
  <c r="J352" i="7"/>
  <c r="K352" i="7"/>
  <c r="G355" i="7"/>
  <c r="J355" i="7"/>
  <c r="K355" i="7"/>
  <c r="G361" i="7"/>
  <c r="G365" i="7"/>
  <c r="J365" i="7"/>
  <c r="K365" i="7"/>
  <c r="G357" i="7"/>
  <c r="J357" i="7"/>
  <c r="G358" i="7"/>
  <c r="J358" i="7"/>
  <c r="K358" i="7"/>
  <c r="G362" i="7"/>
  <c r="J362" i="7"/>
  <c r="G363" i="7"/>
  <c r="J363" i="7"/>
  <c r="K363" i="7"/>
  <c r="G364" i="7"/>
  <c r="J364" i="7"/>
  <c r="G354" i="7"/>
  <c r="J359" i="7"/>
  <c r="J360" i="7"/>
  <c r="N368" i="7"/>
  <c r="G376" i="7"/>
  <c r="J376" i="7"/>
  <c r="K376" i="7"/>
  <c r="G377" i="7"/>
  <c r="J377" i="7"/>
  <c r="J378" i="7"/>
  <c r="K378" i="7"/>
  <c r="G379" i="7"/>
  <c r="G380" i="7"/>
  <c r="J381" i="7"/>
  <c r="G386" i="7"/>
  <c r="K386" i="7"/>
  <c r="J386" i="7"/>
  <c r="G387" i="7"/>
  <c r="J387" i="7"/>
  <c r="G389" i="7"/>
  <c r="J389" i="7"/>
  <c r="J393" i="7"/>
  <c r="G398" i="7"/>
  <c r="J398" i="7"/>
  <c r="G399" i="7"/>
  <c r="J399" i="7"/>
  <c r="G383" i="7"/>
  <c r="G417" i="7"/>
  <c r="J417" i="7"/>
  <c r="G429" i="7"/>
  <c r="J429" i="7"/>
  <c r="G404" i="7"/>
  <c r="K404" i="7"/>
  <c r="J404" i="7"/>
  <c r="G405" i="7"/>
  <c r="J405" i="7"/>
  <c r="G416" i="7"/>
  <c r="G422" i="7"/>
  <c r="J422" i="7"/>
  <c r="G407" i="7"/>
  <c r="J407" i="7"/>
  <c r="K407" i="7"/>
  <c r="G412" i="7"/>
  <c r="J412" i="7"/>
  <c r="G421" i="7"/>
  <c r="J421" i="7"/>
  <c r="G395" i="7"/>
  <c r="J395" i="7"/>
  <c r="G385" i="7"/>
  <c r="J385" i="7"/>
  <c r="K385" i="7"/>
  <c r="G414" i="7"/>
  <c r="J414" i="7"/>
  <c r="G418" i="7"/>
  <c r="J418" i="7"/>
  <c r="K418" i="7"/>
  <c r="G423" i="7"/>
  <c r="J423" i="7"/>
  <c r="G427" i="7"/>
  <c r="J427" i="7"/>
  <c r="G402" i="7"/>
  <c r="J402" i="7"/>
  <c r="G403" i="7"/>
  <c r="J403" i="7"/>
  <c r="G384" i="7"/>
  <c r="J384" i="7"/>
  <c r="G413" i="7"/>
  <c r="K413" i="7"/>
  <c r="J413" i="7"/>
  <c r="G415" i="7"/>
  <c r="K415" i="7"/>
  <c r="J415" i="7"/>
  <c r="G437" i="7"/>
  <c r="J437" i="7"/>
  <c r="G411" i="7"/>
  <c r="G432" i="7"/>
  <c r="J432" i="7"/>
  <c r="K432" i="7"/>
  <c r="G396" i="7"/>
  <c r="J396" i="7"/>
  <c r="K396" i="7"/>
  <c r="G400" i="7"/>
  <c r="J400" i="7"/>
  <c r="G424" i="7"/>
  <c r="J424" i="7"/>
  <c r="K424" i="7"/>
  <c r="G439" i="7"/>
  <c r="J439" i="7"/>
  <c r="J388" i="7"/>
  <c r="G419" i="7"/>
  <c r="K419" i="7"/>
  <c r="J419" i="7"/>
  <c r="G425" i="7"/>
  <c r="J425" i="7"/>
  <c r="G394" i="7"/>
  <c r="J394" i="7"/>
  <c r="K394" i="7"/>
  <c r="G397" i="7"/>
  <c r="J397" i="7"/>
  <c r="G410" i="7"/>
  <c r="J410" i="7"/>
  <c r="K410" i="7"/>
  <c r="G420" i="7"/>
  <c r="J420" i="7"/>
  <c r="J428" i="7"/>
  <c r="G431" i="7"/>
  <c r="J431" i="7"/>
  <c r="G433" i="7"/>
  <c r="J433" i="7"/>
  <c r="G435" i="7"/>
  <c r="J435" i="7"/>
  <c r="G401" i="7"/>
  <c r="J401" i="7"/>
  <c r="G390" i="7"/>
  <c r="G426" i="7"/>
  <c r="G430" i="7"/>
  <c r="K430" i="7"/>
  <c r="G391" i="7"/>
  <c r="G406" i="7"/>
  <c r="J406" i="7"/>
  <c r="G408" i="7"/>
  <c r="J408" i="7"/>
  <c r="G409" i="7"/>
  <c r="J409" i="7"/>
  <c r="J392" i="7"/>
  <c r="K392" i="7"/>
  <c r="G434" i="7"/>
  <c r="J438" i="7"/>
  <c r="J454" i="7"/>
  <c r="J455" i="7"/>
  <c r="J457" i="7"/>
  <c r="K457" i="7"/>
  <c r="J458" i="7"/>
  <c r="J459" i="7"/>
  <c r="J460" i="7"/>
  <c r="K460" i="7"/>
  <c r="J461" i="7"/>
  <c r="K461" i="7"/>
  <c r="J462" i="7"/>
  <c r="K462" i="7"/>
  <c r="J463" i="7"/>
  <c r="J464" i="7"/>
  <c r="K464" i="7"/>
  <c r="J465" i="7"/>
  <c r="J469" i="7"/>
  <c r="J470" i="7"/>
  <c r="J471" i="7"/>
  <c r="K471" i="7"/>
  <c r="J474" i="7"/>
  <c r="K474" i="7"/>
  <c r="J476" i="7"/>
  <c r="J478" i="7"/>
  <c r="J480" i="7"/>
  <c r="J485" i="7"/>
  <c r="K485" i="7"/>
  <c r="J487" i="7"/>
  <c r="J490" i="7"/>
  <c r="K490" i="7"/>
  <c r="J493" i="7"/>
  <c r="K493" i="7"/>
  <c r="J495" i="7"/>
  <c r="G526" i="7"/>
  <c r="J526" i="7"/>
  <c r="G527" i="7"/>
  <c r="J527" i="7"/>
  <c r="G528" i="7"/>
  <c r="J528" i="7"/>
  <c r="G529" i="7"/>
  <c r="G530" i="7"/>
  <c r="J530" i="7"/>
  <c r="G531" i="7"/>
  <c r="J531" i="7"/>
  <c r="G532" i="7"/>
  <c r="J532" i="7"/>
  <c r="K532" i="7"/>
  <c r="G533" i="7"/>
  <c r="J533" i="7"/>
  <c r="G535" i="7"/>
  <c r="J535" i="7"/>
  <c r="G536" i="7"/>
  <c r="J536" i="7"/>
  <c r="K536" i="7"/>
  <c r="G537" i="7"/>
  <c r="J537" i="7"/>
  <c r="K537" i="7"/>
  <c r="G538" i="7"/>
  <c r="J538" i="7"/>
  <c r="G539" i="7"/>
  <c r="K539" i="7"/>
  <c r="G540" i="7"/>
  <c r="J540" i="7"/>
  <c r="G541" i="7"/>
  <c r="J541" i="7"/>
  <c r="G542" i="7"/>
  <c r="J542" i="7"/>
  <c r="G543" i="7"/>
  <c r="J543" i="7"/>
  <c r="G544" i="7"/>
  <c r="G545" i="7"/>
  <c r="J545" i="7"/>
  <c r="K545" i="7"/>
  <c r="G546" i="7"/>
  <c r="J546" i="7"/>
  <c r="G547" i="7"/>
  <c r="J547" i="7"/>
  <c r="K547" i="7"/>
  <c r="G548" i="7"/>
  <c r="J548" i="7"/>
  <c r="G549" i="7"/>
  <c r="K549" i="7"/>
  <c r="J549" i="7"/>
  <c r="G550" i="7"/>
  <c r="G551" i="7"/>
  <c r="J551" i="7"/>
  <c r="G552" i="7"/>
  <c r="J552" i="7"/>
  <c r="K552" i="7"/>
  <c r="G553" i="7"/>
  <c r="J553" i="7"/>
  <c r="G554" i="7"/>
  <c r="J554" i="7"/>
  <c r="K554" i="7"/>
  <c r="J555" i="7"/>
  <c r="G556" i="7"/>
  <c r="G557" i="7"/>
  <c r="K557" i="7"/>
  <c r="J557" i="7"/>
  <c r="G558" i="7"/>
  <c r="J558" i="7"/>
  <c r="G559" i="7"/>
  <c r="G560" i="7"/>
  <c r="J560" i="7"/>
  <c r="G561" i="7"/>
  <c r="J561" i="7"/>
  <c r="G562" i="7"/>
  <c r="J562" i="7"/>
  <c r="G563" i="7"/>
  <c r="K563" i="7"/>
  <c r="G564" i="7"/>
  <c r="G584" i="7"/>
  <c r="K584" i="7"/>
  <c r="J584" i="7"/>
  <c r="G567" i="7"/>
  <c r="J567" i="7"/>
  <c r="K567" i="7"/>
  <c r="G572" i="7"/>
  <c r="J572" i="7"/>
  <c r="G569" i="7"/>
  <c r="J569" i="7"/>
  <c r="G571" i="7"/>
  <c r="J571" i="7"/>
  <c r="G570" i="7"/>
  <c r="J570" i="7"/>
  <c r="K570" i="7"/>
  <c r="G586" i="7"/>
  <c r="J586" i="7"/>
  <c r="G578" i="7"/>
  <c r="G525" i="7"/>
  <c r="G516" i="7"/>
  <c r="J578" i="7"/>
  <c r="J574" i="7"/>
  <c r="K574" i="7"/>
  <c r="G576" i="7"/>
  <c r="K576" i="7"/>
  <c r="J576" i="7"/>
  <c r="G581" i="7"/>
  <c r="K581" i="7"/>
  <c r="J581" i="7"/>
  <c r="G582" i="7"/>
  <c r="G579" i="7"/>
  <c r="J579" i="7"/>
  <c r="K579" i="7"/>
  <c r="G583" i="7"/>
  <c r="J583" i="7"/>
  <c r="G585" i="7"/>
  <c r="J585" i="7"/>
  <c r="K585" i="7"/>
  <c r="G575" i="7"/>
  <c r="G577" i="7"/>
  <c r="J577" i="7"/>
  <c r="K577" i="7"/>
  <c r="G565" i="7"/>
  <c r="J565" i="7"/>
  <c r="G566" i="7"/>
  <c r="J566" i="7"/>
  <c r="K566" i="7"/>
  <c r="G587" i="7"/>
  <c r="J587" i="7"/>
  <c r="G568" i="7"/>
  <c r="J568" i="7"/>
  <c r="G580" i="7"/>
  <c r="J580" i="7"/>
  <c r="K580" i="7"/>
  <c r="G599" i="7"/>
  <c r="J599" i="7"/>
  <c r="J600" i="7"/>
  <c r="K600" i="7"/>
  <c r="J603" i="7"/>
  <c r="J608" i="7"/>
  <c r="J610" i="7"/>
  <c r="J620" i="7"/>
  <c r="J622" i="7"/>
  <c r="K622" i="7"/>
  <c r="J683" i="7"/>
  <c r="J688" i="7"/>
  <c r="J700" i="7"/>
  <c r="K700" i="7"/>
  <c r="M727" i="7"/>
  <c r="N727" i="7"/>
  <c r="J737" i="7"/>
  <c r="G741" i="7"/>
  <c r="J741" i="7"/>
  <c r="K741" i="7"/>
  <c r="J742" i="7"/>
  <c r="G743" i="7"/>
  <c r="J743" i="7"/>
  <c r="G746" i="7"/>
  <c r="K746" i="7"/>
  <c r="J746" i="7"/>
  <c r="G748" i="7"/>
  <c r="J748" i="7"/>
  <c r="G750" i="7"/>
  <c r="K750" i="7"/>
  <c r="J750" i="7"/>
  <c r="J758" i="7"/>
  <c r="G744" i="7"/>
  <c r="K744" i="7"/>
  <c r="J744" i="7"/>
  <c r="G751" i="7"/>
  <c r="K751" i="7"/>
  <c r="G745" i="7"/>
  <c r="G753" i="7"/>
  <c r="J753" i="7"/>
  <c r="J732" i="7"/>
  <c r="G755" i="7"/>
  <c r="J755" i="7"/>
  <c r="K755" i="7"/>
  <c r="J757" i="7"/>
  <c r="G749" i="7"/>
  <c r="J749" i="7"/>
  <c r="K749" i="7"/>
  <c r="J756" i="7"/>
  <c r="J735" i="7"/>
  <c r="G747" i="7"/>
  <c r="J747" i="7"/>
  <c r="K747" i="7"/>
  <c r="J752" i="7"/>
  <c r="G754" i="7"/>
  <c r="J754" i="7"/>
  <c r="J774" i="7"/>
  <c r="K774" i="7"/>
  <c r="J775" i="7"/>
  <c r="J781" i="7"/>
  <c r="J785" i="7"/>
  <c r="J790" i="7"/>
  <c r="M845" i="7"/>
  <c r="N845" i="7"/>
  <c r="G851" i="7"/>
  <c r="J851" i="7"/>
  <c r="G852" i="7"/>
  <c r="J852" i="7"/>
  <c r="G853" i="7"/>
  <c r="J853" i="7"/>
  <c r="K853" i="7"/>
  <c r="J854" i="7"/>
  <c r="G856" i="7"/>
  <c r="J856" i="7"/>
  <c r="J857" i="7"/>
  <c r="J858" i="7"/>
  <c r="J859" i="7"/>
  <c r="G860" i="7"/>
  <c r="J860" i="7"/>
  <c r="K860" i="7"/>
  <c r="G861" i="7"/>
  <c r="J861" i="7"/>
  <c r="G862" i="7"/>
  <c r="J862" i="7"/>
  <c r="K862" i="7"/>
  <c r="J863" i="7"/>
  <c r="J901" i="7"/>
  <c r="J864" i="7"/>
  <c r="K864" i="7"/>
  <c r="J865" i="7"/>
  <c r="G866" i="7"/>
  <c r="J866" i="7"/>
  <c r="J867" i="7"/>
  <c r="K867" i="7"/>
  <c r="G868" i="7"/>
  <c r="J868" i="7"/>
  <c r="J869" i="7"/>
  <c r="J870" i="7"/>
  <c r="G871" i="7"/>
  <c r="K871" i="7"/>
  <c r="J871" i="7"/>
  <c r="J872" i="7"/>
  <c r="J873" i="7"/>
  <c r="G874" i="7"/>
  <c r="J874" i="7"/>
  <c r="G875" i="7"/>
  <c r="K875" i="7"/>
  <c r="J875" i="7"/>
  <c r="J876" i="7"/>
  <c r="G877" i="7"/>
  <c r="J878" i="7"/>
  <c r="G879" i="7"/>
  <c r="J879" i="7"/>
  <c r="K879" i="7"/>
  <c r="G880" i="7"/>
  <c r="J880" i="7"/>
  <c r="G881" i="7"/>
  <c r="J881" i="7"/>
  <c r="K881" i="7"/>
  <c r="G882" i="7"/>
  <c r="J882" i="7"/>
  <c r="G883" i="7"/>
  <c r="K883" i="7"/>
  <c r="J883" i="7"/>
  <c r="G884" i="7"/>
  <c r="J884" i="7"/>
  <c r="J885" i="7"/>
  <c r="G886" i="7"/>
  <c r="J886" i="7"/>
  <c r="K886" i="7"/>
  <c r="G887" i="7"/>
  <c r="J887" i="7"/>
  <c r="K887" i="7"/>
  <c r="G891" i="7"/>
  <c r="J891" i="7"/>
  <c r="J890" i="7"/>
  <c r="G899" i="7"/>
  <c r="J899" i="7"/>
  <c r="G888" i="7"/>
  <c r="J888" i="7"/>
  <c r="K888" i="7"/>
  <c r="G898" i="7"/>
  <c r="J898" i="7"/>
  <c r="G889" i="7"/>
  <c r="J889" i="7"/>
  <c r="G893" i="7"/>
  <c r="J893" i="7"/>
  <c r="G895" i="7"/>
  <c r="J895" i="7"/>
  <c r="K895" i="7"/>
  <c r="G892" i="7"/>
  <c r="J892" i="7"/>
  <c r="G900" i="7"/>
  <c r="K900" i="7"/>
  <c r="J900" i="7"/>
  <c r="G894" i="7"/>
  <c r="J894" i="7"/>
  <c r="G896" i="7"/>
  <c r="K896" i="7"/>
  <c r="J896" i="7"/>
  <c r="J897" i="7"/>
  <c r="G902" i="7"/>
  <c r="J902" i="7"/>
  <c r="J919" i="7"/>
  <c r="J935" i="7"/>
  <c r="K935" i="7"/>
  <c r="J936" i="7"/>
  <c r="J937" i="7"/>
  <c r="J938" i="7"/>
  <c r="J943" i="7"/>
  <c r="J944" i="7"/>
  <c r="J945" i="7"/>
  <c r="J948" i="7"/>
  <c r="K948" i="7"/>
  <c r="M1007" i="7"/>
  <c r="N1007" i="7"/>
  <c r="J1013" i="7"/>
  <c r="J1014" i="7"/>
  <c r="G1015" i="7"/>
  <c r="J1015" i="7"/>
  <c r="J1017" i="7"/>
  <c r="G1018" i="7"/>
  <c r="J1018" i="7"/>
  <c r="K1018" i="7"/>
  <c r="J1019" i="7"/>
  <c r="J1021" i="7"/>
  <c r="G1022" i="7"/>
  <c r="K1022" i="7"/>
  <c r="J1022" i="7"/>
  <c r="G1023" i="7"/>
  <c r="K1023" i="7"/>
  <c r="G1024" i="7"/>
  <c r="J1024" i="7"/>
  <c r="J1025" i="7"/>
  <c r="J1026" i="7"/>
  <c r="J1027" i="7"/>
  <c r="G1028" i="7"/>
  <c r="K1028" i="7"/>
  <c r="J1028" i="7"/>
  <c r="G1029" i="7"/>
  <c r="K1029" i="7"/>
  <c r="J1029" i="7"/>
  <c r="G1030" i="7"/>
  <c r="J1030" i="7"/>
  <c r="G1031" i="7"/>
  <c r="J1031" i="7"/>
  <c r="J1032" i="7"/>
  <c r="G1033" i="7"/>
  <c r="J1033" i="7"/>
  <c r="J1034" i="7"/>
  <c r="G1035" i="7"/>
  <c r="J1035" i="7"/>
  <c r="G1036" i="7"/>
  <c r="G1037" i="7"/>
  <c r="K1037" i="7"/>
  <c r="G1038" i="7"/>
  <c r="J1038" i="7"/>
  <c r="K1038" i="7"/>
  <c r="J1039" i="7"/>
  <c r="G1040" i="7"/>
  <c r="J1040" i="7"/>
  <c r="J1041" i="7"/>
  <c r="J1042" i="7"/>
  <c r="J1043" i="7"/>
  <c r="J1044" i="7"/>
  <c r="J1045" i="7"/>
  <c r="J1046" i="7"/>
  <c r="J1047" i="7"/>
  <c r="G1048" i="7"/>
  <c r="K1048" i="7"/>
  <c r="J1048" i="7"/>
  <c r="J1049" i="7"/>
  <c r="J1050" i="7"/>
  <c r="J1051" i="7"/>
  <c r="J1052" i="7"/>
  <c r="G1053" i="7"/>
  <c r="J1053" i="7"/>
  <c r="K1053" i="7"/>
  <c r="G1066" i="7"/>
  <c r="J1066" i="7"/>
  <c r="G1056" i="7"/>
  <c r="K1056" i="7"/>
  <c r="J1056" i="7"/>
  <c r="G1057" i="7"/>
  <c r="J1057" i="7"/>
  <c r="K1057" i="7"/>
  <c r="G1060" i="7"/>
  <c r="J1060" i="7"/>
  <c r="G1067" i="7"/>
  <c r="J1067" i="7"/>
  <c r="K1067" i="7"/>
  <c r="G1061" i="7"/>
  <c r="J1061" i="7"/>
  <c r="K1061" i="7"/>
  <c r="G1054" i="7"/>
  <c r="J1054" i="7"/>
  <c r="G1063" i="7"/>
  <c r="J1063" i="7"/>
  <c r="K1063" i="7"/>
  <c r="G1055" i="7"/>
  <c r="J1055" i="7"/>
  <c r="G1059" i="7"/>
  <c r="J1059" i="7"/>
  <c r="G1058" i="7"/>
  <c r="K1058" i="7"/>
  <c r="J1058" i="7"/>
  <c r="G1062" i="7"/>
  <c r="J1062" i="7"/>
  <c r="G1069" i="7"/>
  <c r="J1069" i="7"/>
  <c r="J1071" i="7"/>
  <c r="G1072" i="7"/>
  <c r="J1072" i="7"/>
  <c r="J1064" i="7"/>
  <c r="K1064" i="7"/>
  <c r="J1065" i="7"/>
  <c r="J1070" i="7"/>
  <c r="K1070" i="7"/>
  <c r="J1082" i="7"/>
  <c r="K1082" i="7"/>
  <c r="J1083" i="7"/>
  <c r="K1083" i="7"/>
  <c r="J1084" i="7"/>
  <c r="K1084" i="7"/>
  <c r="J1085" i="7"/>
  <c r="J1089" i="7"/>
  <c r="K1089" i="7"/>
  <c r="J1091" i="7"/>
  <c r="K1091" i="7"/>
  <c r="J1093" i="7"/>
  <c r="J1095" i="7"/>
  <c r="K1095" i="7"/>
  <c r="J1097" i="7"/>
  <c r="J1098" i="7"/>
  <c r="K1098" i="7"/>
  <c r="J1100" i="7"/>
  <c r="J1102" i="7"/>
  <c r="K1102" i="7"/>
  <c r="J1104" i="7"/>
  <c r="K1104" i="7"/>
  <c r="J1108" i="7"/>
  <c r="J1110" i="7"/>
  <c r="J1113" i="7"/>
  <c r="K1113" i="7"/>
  <c r="J1114" i="7"/>
  <c r="K1114" i="7"/>
  <c r="J1115" i="7"/>
  <c r="K1115" i="7"/>
  <c r="J1116" i="7"/>
  <c r="J1117" i="7"/>
  <c r="K1117" i="7"/>
  <c r="J1118" i="7"/>
  <c r="K1118" i="7"/>
  <c r="J1119" i="7"/>
  <c r="J1120" i="7"/>
  <c r="J1155" i="7"/>
  <c r="J1157" i="7"/>
  <c r="J1162" i="7"/>
  <c r="K1162" i="7"/>
  <c r="J1163" i="7"/>
  <c r="K1163" i="7"/>
  <c r="J1164" i="7"/>
  <c r="J1166" i="7"/>
  <c r="K1166" i="7"/>
  <c r="J1167" i="7"/>
  <c r="K1167" i="7"/>
  <c r="J1168" i="7"/>
  <c r="K1168" i="7"/>
  <c r="J1174" i="7"/>
  <c r="K1174" i="7"/>
  <c r="J1175" i="7"/>
  <c r="J1180" i="7"/>
  <c r="J1185" i="7"/>
  <c r="K1185" i="7"/>
  <c r="J1186" i="7"/>
  <c r="K1186" i="7"/>
  <c r="J1187" i="7"/>
  <c r="K1187" i="7"/>
  <c r="M1207" i="7"/>
  <c r="N1207" i="7"/>
  <c r="G1212" i="7"/>
  <c r="J1212" i="7"/>
  <c r="G1213" i="7"/>
  <c r="J1213" i="7"/>
  <c r="J1214" i="7"/>
  <c r="J1215" i="7"/>
  <c r="J1216" i="7"/>
  <c r="J1217" i="7"/>
  <c r="G1218" i="7"/>
  <c r="K1218" i="7"/>
  <c r="J1218" i="7"/>
  <c r="J1219" i="7"/>
  <c r="G1220" i="7"/>
  <c r="J1220" i="7"/>
  <c r="G1221" i="7"/>
  <c r="J1221" i="7"/>
  <c r="J1222" i="7"/>
  <c r="G1223" i="7"/>
  <c r="J1223" i="7"/>
  <c r="J1224" i="7"/>
  <c r="G1226" i="7"/>
  <c r="J1226" i="7"/>
  <c r="J1227" i="7"/>
  <c r="G1228" i="7"/>
  <c r="J1228" i="7"/>
  <c r="J1229" i="7"/>
  <c r="J1230" i="7"/>
  <c r="G1231" i="7"/>
  <c r="K1231" i="7"/>
  <c r="J1231" i="7"/>
  <c r="G1232" i="7"/>
  <c r="J1232" i="7"/>
  <c r="G1233" i="7"/>
  <c r="J1233" i="7"/>
  <c r="K1233" i="7"/>
  <c r="J1234" i="7"/>
  <c r="G1235" i="7"/>
  <c r="J1236" i="7"/>
  <c r="J1238" i="7"/>
  <c r="J1239" i="7"/>
  <c r="J1240" i="7"/>
  <c r="G1241" i="7"/>
  <c r="J1241" i="7"/>
  <c r="G1242" i="7"/>
  <c r="J1242" i="7"/>
  <c r="G1243" i="7"/>
  <c r="J1243" i="7"/>
  <c r="G1244" i="7"/>
  <c r="J1244" i="7"/>
  <c r="G1245" i="7"/>
  <c r="J1245" i="7"/>
  <c r="J1246" i="7"/>
  <c r="G1248" i="7"/>
  <c r="J1248" i="7"/>
  <c r="K1248" i="7"/>
  <c r="G1249" i="7"/>
  <c r="J1249" i="7"/>
  <c r="G1250" i="7"/>
  <c r="J1250" i="7"/>
  <c r="K1250" i="7"/>
  <c r="J1251" i="7"/>
  <c r="J1252" i="7"/>
  <c r="K1252" i="7"/>
  <c r="G1253" i="7"/>
  <c r="G1254" i="7"/>
  <c r="J1254" i="7"/>
  <c r="K1254" i="7"/>
  <c r="G1256" i="7"/>
  <c r="J1256" i="7"/>
  <c r="G1255" i="7"/>
  <c r="K1255" i="7"/>
  <c r="J1255" i="7"/>
  <c r="G1261" i="7"/>
  <c r="J1261" i="7"/>
  <c r="G1257" i="7"/>
  <c r="J1257" i="7"/>
  <c r="J1260" i="7"/>
  <c r="G1262" i="7"/>
  <c r="K1262" i="7"/>
  <c r="J1262" i="7"/>
  <c r="G1265" i="7"/>
  <c r="J1265" i="7"/>
  <c r="K1265" i="7"/>
  <c r="G1258" i="7"/>
  <c r="J1258" i="7"/>
  <c r="K1258" i="7"/>
  <c r="G1266" i="7"/>
  <c r="J1266" i="7"/>
  <c r="G1264" i="7"/>
  <c r="J1264" i="7"/>
  <c r="J1263" i="7"/>
  <c r="G1331" i="7"/>
  <c r="J1331" i="7"/>
  <c r="J1320" i="7"/>
  <c r="J1322" i="7"/>
  <c r="J1332" i="7"/>
  <c r="G1278" i="7"/>
  <c r="J1278" i="7"/>
  <c r="G1280" i="7"/>
  <c r="J1280" i="7"/>
  <c r="G1281" i="7"/>
  <c r="J1281" i="7"/>
  <c r="K1281" i="7"/>
  <c r="G1283" i="7"/>
  <c r="J1283" i="7"/>
  <c r="G1287" i="7"/>
  <c r="J1287" i="7"/>
  <c r="G1288" i="7"/>
  <c r="J1289" i="7"/>
  <c r="K1289" i="7"/>
  <c r="J1290" i="7"/>
  <c r="G1291" i="7"/>
  <c r="J1291" i="7"/>
  <c r="K1291" i="7"/>
  <c r="J1292" i="7"/>
  <c r="G1293" i="7"/>
  <c r="J1293" i="7"/>
  <c r="J1296" i="7"/>
  <c r="J1298" i="7"/>
  <c r="G1300" i="7"/>
  <c r="J1300" i="7"/>
  <c r="J1301" i="7"/>
  <c r="G1327" i="7"/>
  <c r="K1327" i="7"/>
  <c r="J1327" i="7"/>
  <c r="G1302" i="7"/>
  <c r="J1302" i="7"/>
  <c r="G1305" i="7"/>
  <c r="J1305" i="7"/>
  <c r="K1305" i="7"/>
  <c r="G1306" i="7"/>
  <c r="J1306" i="7"/>
  <c r="G1307" i="7"/>
  <c r="J1307" i="7"/>
  <c r="G1308" i="7"/>
  <c r="J1308" i="7"/>
  <c r="G1311" i="7"/>
  <c r="J1311" i="7"/>
  <c r="G1312" i="7"/>
  <c r="J1312" i="7"/>
  <c r="G1313" i="7"/>
  <c r="K1313" i="7"/>
  <c r="J1313" i="7"/>
  <c r="G1314" i="7"/>
  <c r="J1314" i="7"/>
  <c r="K1314" i="7"/>
  <c r="G1330" i="7"/>
  <c r="J1330" i="7"/>
  <c r="G1329" i="7"/>
  <c r="J1329" i="7"/>
  <c r="K1329" i="7"/>
  <c r="G1319" i="7"/>
  <c r="J1319" i="7"/>
  <c r="G1316" i="7"/>
  <c r="K1316" i="7"/>
  <c r="J1316" i="7"/>
  <c r="G1317" i="7"/>
  <c r="J1317" i="7"/>
  <c r="G1318" i="7"/>
  <c r="K1318" i="7"/>
  <c r="J1318" i="7"/>
  <c r="G1325" i="7"/>
  <c r="J1325" i="7"/>
  <c r="G1328" i="7"/>
  <c r="K1328" i="7"/>
  <c r="J1328" i="7"/>
  <c r="G1303" i="7"/>
  <c r="J1303" i="7"/>
  <c r="G1310" i="7"/>
  <c r="J1310" i="7"/>
  <c r="G1309" i="7"/>
  <c r="K1309" i="7"/>
  <c r="G1321" i="7"/>
  <c r="J1321" i="7"/>
  <c r="G1326" i="7"/>
  <c r="K1326" i="7"/>
  <c r="J1326" i="7"/>
  <c r="G1323" i="7"/>
  <c r="J1323" i="7"/>
  <c r="G1333" i="7"/>
  <c r="J1333" i="7"/>
  <c r="K1333" i="7"/>
  <c r="G1343" i="7"/>
  <c r="J1343" i="7"/>
  <c r="K1343" i="7"/>
  <c r="J1344" i="7"/>
  <c r="J1345" i="7"/>
  <c r="G1346" i="7"/>
  <c r="J1346" i="7"/>
  <c r="G1347" i="7"/>
  <c r="J1347" i="7"/>
  <c r="G1348" i="7"/>
  <c r="K1348" i="7"/>
  <c r="J1348" i="7"/>
  <c r="G1349" i="7"/>
  <c r="J1349" i="7"/>
  <c r="G1350" i="7"/>
  <c r="J1350" i="7"/>
  <c r="K1350" i="7"/>
  <c r="G1351" i="7"/>
  <c r="J1351" i="7"/>
  <c r="J1352" i="7"/>
  <c r="G1353" i="7"/>
  <c r="J1353" i="7"/>
  <c r="G1354" i="7"/>
  <c r="J1354" i="7"/>
  <c r="G1355" i="7"/>
  <c r="J1355" i="7"/>
  <c r="J1356" i="7"/>
  <c r="J1357" i="7"/>
  <c r="G1358" i="7"/>
  <c r="J1358" i="7"/>
  <c r="G1359" i="7"/>
  <c r="J1359" i="7"/>
  <c r="K1359" i="7"/>
  <c r="G1360" i="7"/>
  <c r="J1360" i="7"/>
  <c r="J1361" i="7"/>
  <c r="G1362" i="7"/>
  <c r="J1362" i="7"/>
  <c r="J1363" i="7"/>
  <c r="G1364" i="7"/>
  <c r="J1364" i="7"/>
  <c r="G1365" i="7"/>
  <c r="J1365" i="7"/>
  <c r="G1366" i="7"/>
  <c r="J1366" i="7"/>
  <c r="G1367" i="7"/>
  <c r="J1367" i="7"/>
  <c r="G1368" i="7"/>
  <c r="J1368" i="7"/>
  <c r="J1369" i="7"/>
  <c r="G1370" i="7"/>
  <c r="J1370" i="7"/>
  <c r="J1371" i="7"/>
  <c r="G1389" i="7"/>
  <c r="J1389" i="7"/>
  <c r="G1391" i="7"/>
  <c r="J1391" i="7"/>
  <c r="G1376" i="7"/>
  <c r="J1376" i="7"/>
  <c r="G1372" i="7"/>
  <c r="J1372" i="7"/>
  <c r="K1372" i="7"/>
  <c r="G1386" i="7"/>
  <c r="J1386" i="7"/>
  <c r="K1386" i="7"/>
  <c r="G1373" i="7"/>
  <c r="J1373" i="7"/>
  <c r="G1377" i="7"/>
  <c r="J1377" i="7"/>
  <c r="K1377" i="7"/>
  <c r="G1374" i="7"/>
  <c r="J1374" i="7"/>
  <c r="G1375" i="7"/>
  <c r="K1375" i="7"/>
  <c r="J1375" i="7"/>
  <c r="G1380" i="7"/>
  <c r="J1380" i="7"/>
  <c r="K1380" i="7"/>
  <c r="G1381" i="7"/>
  <c r="J1381" i="7"/>
  <c r="K1381" i="7"/>
  <c r="G1383" i="7"/>
  <c r="J1383" i="7"/>
  <c r="G1384" i="7"/>
  <c r="K1384" i="7"/>
  <c r="J1384" i="7"/>
  <c r="G1387" i="7"/>
  <c r="J1387" i="7"/>
  <c r="G1379" i="7"/>
  <c r="J1379" i="7"/>
  <c r="G1382" i="7"/>
  <c r="J1382" i="7"/>
  <c r="G1385" i="7"/>
  <c r="J1385" i="7"/>
  <c r="J1378" i="7"/>
  <c r="J1388" i="7"/>
  <c r="M1394" i="7"/>
  <c r="N1394" i="7"/>
  <c r="G1399" i="7"/>
  <c r="J1399" i="7"/>
  <c r="G1400" i="7"/>
  <c r="J1401" i="7"/>
  <c r="G1402" i="7"/>
  <c r="J1402" i="7"/>
  <c r="K1402" i="7"/>
  <c r="G1403" i="7"/>
  <c r="J1403" i="7"/>
  <c r="J1404" i="7"/>
  <c r="K1404" i="7"/>
  <c r="G1405" i="7"/>
  <c r="J1405" i="7"/>
  <c r="G1406" i="7"/>
  <c r="J1406" i="7"/>
  <c r="G1407" i="7"/>
  <c r="J1407" i="7"/>
  <c r="G1408" i="7"/>
  <c r="J1408" i="7"/>
  <c r="K1408" i="7"/>
  <c r="G1409" i="7"/>
  <c r="J1409" i="7"/>
  <c r="G1410" i="7"/>
  <c r="K1410" i="7"/>
  <c r="J1410" i="7"/>
  <c r="G1411" i="7"/>
  <c r="J1411" i="7"/>
  <c r="G1412" i="7"/>
  <c r="K1412" i="7"/>
  <c r="J1412" i="7"/>
  <c r="J1413" i="7"/>
  <c r="J1414" i="7"/>
  <c r="G1415" i="7"/>
  <c r="K1415" i="7"/>
  <c r="J1415" i="7"/>
  <c r="J1416" i="7"/>
  <c r="G1417" i="7"/>
  <c r="J1417" i="7"/>
  <c r="K1417" i="7"/>
  <c r="G1418" i="7"/>
  <c r="K1418" i="7"/>
  <c r="J1418" i="7"/>
  <c r="G1419" i="7"/>
  <c r="J1419" i="7"/>
  <c r="G1420" i="7"/>
  <c r="J1420" i="7"/>
  <c r="G1421" i="7"/>
  <c r="J1421" i="7"/>
  <c r="G1422" i="7"/>
  <c r="J1422" i="7"/>
  <c r="K1422" i="7"/>
  <c r="G1423" i="7"/>
  <c r="K1423" i="7"/>
  <c r="J1423" i="7"/>
  <c r="J1424" i="7"/>
  <c r="G1425" i="7"/>
  <c r="J1425" i="7"/>
  <c r="K1425" i="7"/>
  <c r="G1426" i="7"/>
  <c r="J1426" i="7"/>
  <c r="K1426" i="7"/>
  <c r="J1427" i="7"/>
  <c r="J1428" i="7"/>
  <c r="G1429" i="7"/>
  <c r="J1429" i="7"/>
  <c r="J1430" i="7"/>
  <c r="G1431" i="7"/>
  <c r="J1431" i="7"/>
  <c r="J1432" i="7"/>
  <c r="J1433" i="7"/>
  <c r="G1434" i="7"/>
  <c r="J1434" i="7"/>
  <c r="J1435" i="7"/>
  <c r="G1436" i="7"/>
  <c r="J1436" i="7"/>
  <c r="K1436" i="7"/>
  <c r="G1437" i="7"/>
  <c r="K1437" i="7"/>
  <c r="J1437" i="7"/>
  <c r="G1438" i="7"/>
  <c r="J1438" i="7"/>
  <c r="K1438" i="7"/>
  <c r="G1439" i="7"/>
  <c r="J1439" i="7"/>
  <c r="G1440" i="7"/>
  <c r="K1440" i="7"/>
  <c r="J1440" i="7"/>
  <c r="G1444" i="7"/>
  <c r="J1444" i="7"/>
  <c r="G1447" i="7"/>
  <c r="J1447" i="7"/>
  <c r="G1445" i="7"/>
  <c r="J1445" i="7"/>
  <c r="G1448" i="7"/>
  <c r="J1448" i="7"/>
  <c r="G1442" i="7"/>
  <c r="J1442" i="7"/>
  <c r="J1449" i="7"/>
  <c r="G1452" i="7"/>
  <c r="J1452" i="7"/>
  <c r="G1457" i="7"/>
  <c r="J1457" i="7"/>
  <c r="G1441" i="7"/>
  <c r="J1441" i="7"/>
  <c r="G1453" i="7"/>
  <c r="K1453" i="7"/>
  <c r="J1453" i="7"/>
  <c r="G1450" i="7"/>
  <c r="J1450" i="7"/>
  <c r="J1454" i="7"/>
  <c r="J1455" i="7"/>
  <c r="G1446" i="7"/>
  <c r="J1446" i="7"/>
  <c r="G1451" i="7"/>
  <c r="J1451" i="7"/>
  <c r="K1451" i="7"/>
  <c r="G1458" i="7"/>
  <c r="J1458" i="7"/>
  <c r="M1461" i="7"/>
  <c r="N1461" i="7"/>
  <c r="G1467" i="7"/>
  <c r="J1467" i="7"/>
  <c r="G1468" i="7"/>
  <c r="J1468" i="7"/>
  <c r="G1469" i="7"/>
  <c r="J1470" i="7"/>
  <c r="G1471" i="7"/>
  <c r="J1471" i="7"/>
  <c r="K1471" i="7"/>
  <c r="G1472" i="7"/>
  <c r="J1472" i="7"/>
  <c r="G1473" i="7"/>
  <c r="J1473" i="7"/>
  <c r="G1474" i="7"/>
  <c r="J1474" i="7"/>
  <c r="J1475" i="7"/>
  <c r="J1476" i="7"/>
  <c r="G1477" i="7"/>
  <c r="J1477" i="7"/>
  <c r="J1479" i="7"/>
  <c r="J1480" i="7"/>
  <c r="G1481" i="7"/>
  <c r="J1481" i="7"/>
  <c r="J1482" i="7"/>
  <c r="K1482" i="7"/>
  <c r="J1483" i="7"/>
  <c r="J1484" i="7"/>
  <c r="G1485" i="7"/>
  <c r="J1485" i="7"/>
  <c r="G1486" i="7"/>
  <c r="J1486" i="7"/>
  <c r="G1487" i="7"/>
  <c r="G1488" i="7"/>
  <c r="J1488" i="7"/>
  <c r="J1490" i="7"/>
  <c r="J1491" i="7"/>
  <c r="G1492" i="7"/>
  <c r="K1492" i="7"/>
  <c r="J1492" i="7"/>
  <c r="J1493" i="7"/>
  <c r="G1494" i="7"/>
  <c r="K1494" i="7"/>
  <c r="J1494" i="7"/>
  <c r="G1495" i="7"/>
  <c r="J1495" i="7"/>
  <c r="G1496" i="7"/>
  <c r="J1496" i="7"/>
  <c r="K1496" i="7"/>
  <c r="G1497" i="7"/>
  <c r="K1497" i="7"/>
  <c r="J1497" i="7"/>
  <c r="G1498" i="7"/>
  <c r="J1498" i="7"/>
  <c r="K1498" i="7"/>
  <c r="J1499" i="7"/>
  <c r="J1500" i="7"/>
  <c r="G1501" i="7"/>
  <c r="J1501" i="7"/>
  <c r="K1501" i="7"/>
  <c r="G1502" i="7"/>
  <c r="J1502" i="7"/>
  <c r="G1503" i="7"/>
  <c r="J1503" i="7"/>
  <c r="J1504" i="7"/>
  <c r="G1505" i="7"/>
  <c r="J1505" i="7"/>
  <c r="K1505" i="7"/>
  <c r="J1506" i="7"/>
  <c r="G1507" i="7"/>
  <c r="J1507" i="7"/>
  <c r="K1507" i="7"/>
  <c r="J1508" i="7"/>
  <c r="J1517" i="7"/>
  <c r="J1509" i="7"/>
  <c r="G1532" i="7"/>
  <c r="J1532" i="7"/>
  <c r="K1532" i="7"/>
  <c r="G1510" i="7"/>
  <c r="K1510" i="7"/>
  <c r="J1510" i="7"/>
  <c r="G1518" i="7"/>
  <c r="J1518" i="7"/>
  <c r="K1518" i="7"/>
  <c r="G1515" i="7"/>
  <c r="J1515" i="7"/>
  <c r="G1516" i="7"/>
  <c r="J1516" i="7"/>
  <c r="K1516" i="7"/>
  <c r="G1525" i="7"/>
  <c r="J1525" i="7"/>
  <c r="K1525" i="7"/>
  <c r="G1526" i="7"/>
  <c r="K1526" i="7"/>
  <c r="J1526" i="7"/>
  <c r="G1520" i="7"/>
  <c r="K1520" i="7"/>
  <c r="J1520" i="7"/>
  <c r="J1521" i="7"/>
  <c r="G1511" i="7"/>
  <c r="K1511" i="7"/>
  <c r="J1511" i="7"/>
  <c r="G1522" i="7"/>
  <c r="K1522" i="7"/>
  <c r="J1522" i="7"/>
  <c r="G1523" i="7"/>
  <c r="G1512" i="7"/>
  <c r="K1512" i="7"/>
  <c r="J1512" i="7"/>
  <c r="G1529" i="7"/>
  <c r="K1529" i="7"/>
  <c r="J1529" i="7"/>
  <c r="G1513" i="7"/>
  <c r="J1513" i="7"/>
  <c r="K1513" i="7"/>
  <c r="G1524" i="7"/>
  <c r="J1524" i="7"/>
  <c r="K1524" i="7"/>
  <c r="G1531" i="7"/>
  <c r="J1531" i="7"/>
  <c r="G1514" i="7"/>
  <c r="J1514" i="7"/>
  <c r="G1519" i="7"/>
  <c r="J1519" i="7"/>
  <c r="G1527" i="7"/>
  <c r="J1527" i="7"/>
  <c r="G1528" i="7"/>
  <c r="J1528" i="7"/>
  <c r="G1530" i="7"/>
  <c r="G1540" i="7"/>
  <c r="J1540" i="7"/>
  <c r="G1541" i="7"/>
  <c r="J1541" i="7"/>
  <c r="K1541" i="7"/>
  <c r="G1542" i="7"/>
  <c r="J1544" i="7"/>
  <c r="G1545" i="7"/>
  <c r="J1545" i="7"/>
  <c r="J1546" i="7"/>
  <c r="G1547" i="7"/>
  <c r="J1547" i="7"/>
  <c r="G1548" i="7"/>
  <c r="K1548" i="7"/>
  <c r="J1549" i="7"/>
  <c r="G1550" i="7"/>
  <c r="J1550" i="7"/>
  <c r="G1551" i="7"/>
  <c r="G1552" i="7"/>
  <c r="G1553" i="7"/>
  <c r="J1553" i="7"/>
  <c r="J1554" i="7"/>
  <c r="G1555" i="7"/>
  <c r="J1555" i="7"/>
  <c r="G1556" i="7"/>
  <c r="J1556" i="7"/>
  <c r="G1557" i="7"/>
  <c r="J1557" i="7"/>
  <c r="J1560" i="7"/>
  <c r="G1561" i="7"/>
  <c r="K1561" i="7"/>
  <c r="J1561" i="7"/>
  <c r="J1562" i="7"/>
  <c r="G1564" i="7"/>
  <c r="J1564" i="7"/>
  <c r="J1565" i="7"/>
  <c r="J1566" i="7"/>
  <c r="J1567" i="7"/>
  <c r="G1568" i="7"/>
  <c r="J1568" i="7"/>
  <c r="J1569" i="7"/>
  <c r="G1571" i="7"/>
  <c r="J1571" i="7"/>
  <c r="G1572" i="7"/>
  <c r="J1572" i="7"/>
  <c r="G1573" i="7"/>
  <c r="K1573" i="7"/>
  <c r="J1573" i="7"/>
  <c r="G1574" i="7"/>
  <c r="J1574" i="7"/>
  <c r="G1575" i="7"/>
  <c r="K1575" i="7"/>
  <c r="J1575" i="7"/>
  <c r="J1576" i="7"/>
  <c r="G1577" i="7"/>
  <c r="J1577" i="7"/>
  <c r="K1577" i="7"/>
  <c r="G1578" i="7"/>
  <c r="K1578" i="7"/>
  <c r="J1578" i="7"/>
  <c r="G1583" i="7"/>
  <c r="K1583" i="7"/>
  <c r="J1583" i="7"/>
  <c r="G1589" i="7"/>
  <c r="J1589" i="7"/>
  <c r="K1589" i="7"/>
  <c r="J1581" i="7"/>
  <c r="G1582" i="7"/>
  <c r="J1582" i="7"/>
  <c r="G1585" i="7"/>
  <c r="J1585" i="7"/>
  <c r="G1586" i="7"/>
  <c r="J1586" i="7"/>
  <c r="K1586" i="7"/>
  <c r="G1580" i="7"/>
  <c r="J1580" i="7"/>
  <c r="G1579" i="7"/>
  <c r="J1579" i="7"/>
  <c r="K1579" i="7"/>
  <c r="J1590" i="7"/>
  <c r="G1588" i="7"/>
  <c r="J1588" i="7"/>
  <c r="K1588" i="7"/>
  <c r="G1584" i="7"/>
  <c r="G1587" i="7"/>
  <c r="J1587" i="7"/>
  <c r="J1601" i="7"/>
  <c r="G1602" i="7"/>
  <c r="J1602" i="7"/>
  <c r="K1602" i="7"/>
  <c r="J1603" i="7"/>
  <c r="J1604" i="7"/>
  <c r="G1605" i="7"/>
  <c r="J1605" i="7"/>
  <c r="J1606" i="7"/>
  <c r="G1608" i="7"/>
  <c r="J1608" i="7"/>
  <c r="K1608" i="7"/>
  <c r="G1609" i="7"/>
  <c r="J1609" i="7"/>
  <c r="G1610" i="7"/>
  <c r="J1610" i="7"/>
  <c r="K1610" i="7"/>
  <c r="G1611" i="7"/>
  <c r="J1611" i="7"/>
  <c r="G1612" i="7"/>
  <c r="J1612" i="7"/>
  <c r="K1612" i="7"/>
  <c r="G1613" i="7"/>
  <c r="K1613" i="7"/>
  <c r="J1613" i="7"/>
  <c r="G1614" i="7"/>
  <c r="K1614" i="7"/>
  <c r="J1614" i="7"/>
  <c r="G1615" i="7"/>
  <c r="J1615" i="7"/>
  <c r="K1615" i="7"/>
  <c r="G1616" i="7"/>
  <c r="J1616" i="7"/>
  <c r="G1617" i="7"/>
  <c r="J1617" i="7"/>
  <c r="K1617" i="7"/>
  <c r="G1618" i="7"/>
  <c r="J1618" i="7"/>
  <c r="K1618" i="7"/>
  <c r="G1619" i="7"/>
  <c r="J1619" i="7"/>
  <c r="K1619" i="7"/>
  <c r="J1620" i="7"/>
  <c r="G1621" i="7"/>
  <c r="G1622" i="7"/>
  <c r="J1622" i="7"/>
  <c r="J1623" i="7"/>
  <c r="J1624" i="7"/>
  <c r="G1625" i="7"/>
  <c r="K1625" i="7"/>
  <c r="J1625" i="7"/>
  <c r="G1626" i="7"/>
  <c r="J1626" i="7"/>
  <c r="J1627" i="7"/>
  <c r="J1628" i="7"/>
  <c r="K1628" i="7"/>
  <c r="J1629" i="7"/>
  <c r="J1630" i="7"/>
  <c r="J1631" i="7"/>
  <c r="G1632" i="7"/>
  <c r="K1632" i="7"/>
  <c r="J1632" i="7"/>
  <c r="J1633" i="7"/>
  <c r="G1634" i="7"/>
  <c r="J1634" i="7"/>
  <c r="K1634" i="7"/>
  <c r="J1636" i="7"/>
  <c r="J1637" i="7"/>
  <c r="G1638" i="7"/>
  <c r="K1638" i="7"/>
  <c r="G1639" i="7"/>
  <c r="J1639" i="7"/>
  <c r="J1640" i="7"/>
  <c r="J1641" i="7"/>
  <c r="K1641" i="7"/>
  <c r="G1642" i="7"/>
  <c r="J1642" i="7"/>
  <c r="G1643" i="7"/>
  <c r="J1643" i="7"/>
  <c r="G1647" i="7"/>
  <c r="G1648" i="7"/>
  <c r="K1648" i="7"/>
  <c r="J1648" i="7"/>
  <c r="G1650" i="7"/>
  <c r="J1650" i="7"/>
  <c r="K1650" i="7"/>
  <c r="G1649" i="7"/>
  <c r="K1649" i="7"/>
  <c r="J1649" i="7"/>
  <c r="G1644" i="7"/>
  <c r="J1644" i="7"/>
  <c r="G1655" i="7"/>
  <c r="J1655" i="7"/>
  <c r="G1651" i="7"/>
  <c r="J1651" i="7"/>
  <c r="G1652" i="7"/>
  <c r="J1652" i="7"/>
  <c r="J1645" i="7"/>
  <c r="K1645" i="7"/>
  <c r="G1653" i="7"/>
  <c r="G1654" i="7"/>
  <c r="K1654" i="7"/>
  <c r="J1654" i="7"/>
  <c r="G1646" i="7"/>
  <c r="J1646" i="7"/>
  <c r="K1646" i="7"/>
  <c r="G1656" i="7"/>
  <c r="J1656" i="7"/>
  <c r="K1656" i="7"/>
  <c r="G1657" i="7"/>
  <c r="J1657" i="7"/>
  <c r="G1658" i="7"/>
  <c r="E4" i="2"/>
  <c r="H4" i="2"/>
  <c r="E5" i="2"/>
  <c r="H5" i="2"/>
  <c r="E6" i="2"/>
  <c r="H6" i="2"/>
  <c r="I6" i="2"/>
  <c r="E7" i="2"/>
  <c r="E8" i="2"/>
  <c r="I8" i="2"/>
  <c r="E9" i="2"/>
  <c r="H9" i="2"/>
  <c r="I9" i="2"/>
  <c r="E10" i="2"/>
  <c r="E11" i="2"/>
  <c r="H11" i="2"/>
  <c r="I11" i="2"/>
  <c r="E12" i="2"/>
  <c r="H12" i="2"/>
  <c r="I12" i="2"/>
  <c r="E13" i="2"/>
  <c r="H13" i="2"/>
  <c r="I13" i="2"/>
  <c r="E14" i="2"/>
  <c r="H14" i="2"/>
  <c r="E15" i="2"/>
  <c r="H15" i="2"/>
  <c r="I15" i="2"/>
  <c r="E16" i="2"/>
  <c r="E17" i="2"/>
  <c r="E18" i="2"/>
  <c r="H18" i="2"/>
  <c r="I18" i="2"/>
  <c r="E19" i="2"/>
  <c r="H19" i="2"/>
  <c r="I19" i="2"/>
  <c r="E20" i="2"/>
  <c r="E21" i="2"/>
  <c r="H21" i="2"/>
  <c r="I21" i="2"/>
  <c r="E22" i="2"/>
  <c r="E23" i="2"/>
  <c r="H23" i="2"/>
  <c r="I23" i="2"/>
  <c r="E24" i="2"/>
  <c r="H24" i="2"/>
  <c r="E25" i="2"/>
  <c r="E26" i="2"/>
  <c r="H26" i="2"/>
  <c r="E27" i="2"/>
  <c r="H27" i="2"/>
  <c r="E28" i="2"/>
  <c r="C29" i="2"/>
  <c r="D29" i="2"/>
  <c r="F29" i="2"/>
  <c r="G29" i="2"/>
  <c r="E4" i="1"/>
  <c r="H4" i="1"/>
  <c r="I4" i="1"/>
  <c r="E5" i="1"/>
  <c r="E29" i="1"/>
  <c r="E6" i="1"/>
  <c r="H6" i="1"/>
  <c r="I6" i="1"/>
  <c r="E7" i="1"/>
  <c r="E8" i="1"/>
  <c r="H8" i="1"/>
  <c r="E9" i="1"/>
  <c r="E10" i="1"/>
  <c r="H10" i="1"/>
  <c r="I10" i="1"/>
  <c r="E11" i="1"/>
  <c r="E12" i="1"/>
  <c r="H12" i="1"/>
  <c r="I12" i="1"/>
  <c r="E13" i="1"/>
  <c r="E14" i="1"/>
  <c r="H14" i="1"/>
  <c r="I14" i="1"/>
  <c r="E15" i="1"/>
  <c r="E16" i="1"/>
  <c r="H16" i="1"/>
  <c r="E17" i="1"/>
  <c r="E18" i="1"/>
  <c r="H18" i="1"/>
  <c r="I18" i="1"/>
  <c r="E19" i="1"/>
  <c r="E20" i="1"/>
  <c r="H20" i="1"/>
  <c r="E21" i="1"/>
  <c r="H21" i="1"/>
  <c r="I21" i="1"/>
  <c r="E22" i="1"/>
  <c r="E23" i="1"/>
  <c r="H23" i="1"/>
  <c r="E24" i="1"/>
  <c r="E25" i="1"/>
  <c r="H25" i="1"/>
  <c r="I25" i="1"/>
  <c r="E26" i="1"/>
  <c r="H26" i="1"/>
  <c r="E27" i="1"/>
  <c r="E28" i="1"/>
  <c r="C29" i="1"/>
  <c r="D29" i="1"/>
  <c r="F29" i="1"/>
  <c r="J1286" i="7"/>
  <c r="J1297" i="7"/>
  <c r="J1285" i="7"/>
  <c r="J1284" i="7"/>
  <c r="J1299" i="7"/>
  <c r="K1299" i="7"/>
  <c r="J1288" i="7"/>
  <c r="K1288" i="7"/>
  <c r="J1295" i="7"/>
  <c r="G1269" i="7"/>
  <c r="M1147" i="7"/>
  <c r="N442" i="7"/>
  <c r="M142" i="7"/>
  <c r="M1075" i="7"/>
  <c r="M670" i="7"/>
  <c r="M442" i="7"/>
  <c r="N590" i="7"/>
  <c r="M590" i="7"/>
  <c r="N1147" i="7"/>
  <c r="N142" i="7"/>
  <c r="N1075" i="7"/>
  <c r="N670" i="7"/>
  <c r="N761" i="7"/>
  <c r="M761" i="7"/>
  <c r="G618" i="7"/>
  <c r="J930" i="7"/>
  <c r="G950" i="7"/>
  <c r="G913" i="7"/>
  <c r="G903" i="7"/>
  <c r="G605" i="7"/>
  <c r="K605" i="7"/>
  <c r="G946" i="7"/>
  <c r="G791" i="7"/>
  <c r="K791" i="7"/>
  <c r="G428" i="7"/>
  <c r="G1428" i="7"/>
  <c r="G1432" i="7"/>
  <c r="G153" i="7"/>
  <c r="G169" i="7"/>
  <c r="K169" i="7"/>
  <c r="G172" i="7"/>
  <c r="J682" i="7"/>
  <c r="G1247" i="7"/>
  <c r="K1247" i="7"/>
  <c r="G104" i="7"/>
  <c r="G1101" i="7"/>
  <c r="K1101" i="7"/>
  <c r="G211" i="7"/>
  <c r="K211" i="7"/>
  <c r="G734" i="7"/>
  <c r="G615" i="7"/>
  <c r="K615" i="7"/>
  <c r="G1121" i="7"/>
  <c r="K1121" i="7"/>
  <c r="G1099" i="7"/>
  <c r="K1099" i="7"/>
  <c r="G1225" i="7"/>
  <c r="K1225" i="7"/>
  <c r="G739" i="7"/>
  <c r="G837" i="7"/>
  <c r="G820" i="7"/>
  <c r="K820" i="7"/>
  <c r="G841" i="7"/>
  <c r="K841" i="7"/>
  <c r="G775" i="7"/>
  <c r="G614" i="7"/>
  <c r="K614" i="7"/>
  <c r="G1122" i="7"/>
  <c r="G795" i="7"/>
  <c r="K795" i="7"/>
  <c r="G830" i="7"/>
  <c r="K830" i="7"/>
  <c r="G1191" i="7"/>
  <c r="K1191" i="7"/>
  <c r="G193" i="7"/>
  <c r="K193" i="7"/>
  <c r="G932" i="7"/>
  <c r="K932" i="7"/>
  <c r="G918" i="7"/>
  <c r="G927" i="7"/>
  <c r="K927" i="7"/>
  <c r="G1103" i="7"/>
  <c r="K1103" i="7"/>
  <c r="G188" i="7"/>
  <c r="G167" i="7"/>
  <c r="G198" i="7"/>
  <c r="K198" i="7"/>
  <c r="G162" i="7"/>
  <c r="G179" i="7"/>
  <c r="G15" i="7"/>
  <c r="G392" i="7"/>
  <c r="G914" i="7"/>
  <c r="G75" i="7"/>
  <c r="K75" i="7"/>
  <c r="G98" i="7"/>
  <c r="G95" i="7"/>
  <c r="G1196" i="7"/>
  <c r="K1196" i="7"/>
  <c r="G1292" i="7"/>
  <c r="G219" i="7"/>
  <c r="K219" i="7"/>
  <c r="G685" i="7"/>
  <c r="K685" i="7"/>
  <c r="G690" i="7"/>
  <c r="K690" i="7"/>
  <c r="G694" i="7"/>
  <c r="K694" i="7"/>
  <c r="G708" i="7"/>
  <c r="K708" i="7"/>
  <c r="G488" i="7"/>
  <c r="K488" i="7"/>
  <c r="G784" i="7"/>
  <c r="K784" i="7"/>
  <c r="G786" i="7"/>
  <c r="K786" i="7"/>
  <c r="G284" i="7"/>
  <c r="K284" i="7"/>
  <c r="G1606" i="7"/>
  <c r="G1500" i="7"/>
  <c r="G1390" i="7"/>
  <c r="G264" i="7"/>
  <c r="G209" i="7"/>
  <c r="K209" i="7"/>
  <c r="G897" i="7"/>
  <c r="K897" i="7"/>
  <c r="G328" i="7"/>
  <c r="G320" i="7"/>
  <c r="G341" i="7"/>
  <c r="G260" i="7"/>
  <c r="K260" i="7"/>
  <c r="G273" i="7"/>
  <c r="G123" i="7"/>
  <c r="K123" i="7"/>
  <c r="G117" i="7"/>
  <c r="K117" i="7"/>
  <c r="G381" i="7"/>
  <c r="G388" i="7"/>
  <c r="G1026" i="7"/>
  <c r="G1543" i="7"/>
  <c r="G1404" i="7"/>
  <c r="G1357" i="7"/>
  <c r="K1357" i="7"/>
  <c r="J1036" i="7"/>
  <c r="K1036" i="7"/>
  <c r="G869" i="7"/>
  <c r="K869" i="7"/>
  <c r="G307" i="7"/>
  <c r="G275" i="7"/>
  <c r="G100" i="7"/>
  <c r="G858" i="7"/>
  <c r="G872" i="7"/>
  <c r="G120" i="7"/>
  <c r="K120" i="7"/>
  <c r="G119" i="7"/>
  <c r="K119" i="7"/>
  <c r="G1315" i="7"/>
  <c r="K1315" i="7"/>
  <c r="G1158" i="7"/>
  <c r="K1158" i="7"/>
  <c r="G1169" i="7"/>
  <c r="K1169" i="7"/>
  <c r="G170" i="7"/>
  <c r="K170" i="7"/>
  <c r="J190" i="7"/>
  <c r="G201" i="7"/>
  <c r="K201" i="7"/>
  <c r="G210" i="7"/>
  <c r="K210" i="7"/>
  <c r="G176" i="7"/>
  <c r="K176" i="7"/>
  <c r="G922" i="7"/>
  <c r="G942" i="7"/>
  <c r="G680" i="7"/>
  <c r="K680" i="7"/>
  <c r="G601" i="7"/>
  <c r="G613" i="7"/>
  <c r="G1092" i="7"/>
  <c r="K1092" i="7"/>
  <c r="G1332" i="7"/>
  <c r="G154" i="7"/>
  <c r="K154" i="7"/>
  <c r="G163" i="7"/>
  <c r="G168" i="7"/>
  <c r="G171" i="7"/>
  <c r="G920" i="7"/>
  <c r="G930" i="7"/>
  <c r="K930" i="7"/>
  <c r="G941" i="7"/>
  <c r="K941" i="7"/>
  <c r="G738" i="7"/>
  <c r="K738" i="7"/>
  <c r="G604" i="7"/>
  <c r="G1112" i="7"/>
  <c r="G353" i="7"/>
  <c r="G573" i="7"/>
  <c r="G438" i="7"/>
  <c r="G382" i="7"/>
  <c r="G1020" i="7"/>
  <c r="K1020" i="7"/>
  <c r="G1478" i="7"/>
  <c r="G1263" i="7"/>
  <c r="G752" i="7"/>
  <c r="K752" i="7"/>
  <c r="G867" i="7"/>
  <c r="G865" i="7"/>
  <c r="G1356" i="7"/>
  <c r="K1356" i="7"/>
  <c r="G1215" i="7"/>
  <c r="G901" i="7"/>
  <c r="K901" i="7"/>
  <c r="G758" i="7"/>
  <c r="G1388" i="7"/>
  <c r="K1388" i="7"/>
  <c r="G326" i="7"/>
  <c r="K326" i="7"/>
  <c r="G1239" i="7"/>
  <c r="G870" i="7"/>
  <c r="G864" i="7"/>
  <c r="G327" i="7"/>
  <c r="G345" i="7"/>
  <c r="G105" i="7"/>
  <c r="G393" i="7"/>
  <c r="G1601" i="7"/>
  <c r="G1637" i="7"/>
  <c r="K1637" i="7"/>
  <c r="G318" i="7"/>
  <c r="K318" i="7"/>
  <c r="G1490" i="7"/>
  <c r="G1482" i="7"/>
  <c r="G1046" i="7"/>
  <c r="G359" i="7"/>
  <c r="K359" i="7"/>
  <c r="G340" i="7"/>
  <c r="K340" i="7"/>
  <c r="G268" i="7"/>
  <c r="K268" i="7"/>
  <c r="G249" i="7"/>
  <c r="G114" i="7"/>
  <c r="G110" i="7"/>
  <c r="G108" i="7"/>
  <c r="G99" i="7"/>
  <c r="K99" i="7"/>
  <c r="G709" i="7"/>
  <c r="G1483" i="7"/>
  <c r="G1504" i="7"/>
  <c r="G1217" i="7"/>
  <c r="G378" i="7"/>
  <c r="G1480" i="7"/>
  <c r="G916" i="7"/>
  <c r="G698" i="7"/>
  <c r="K698" i="7"/>
  <c r="G1224" i="7"/>
  <c r="G1219" i="7"/>
  <c r="G1050" i="7"/>
  <c r="G1016" i="7"/>
  <c r="K1016" i="7"/>
  <c r="G1259" i="7"/>
  <c r="K1259" i="7"/>
  <c r="G1216" i="7"/>
  <c r="K1216" i="7"/>
  <c r="G339" i="7"/>
  <c r="K339" i="7"/>
  <c r="G332" i="7"/>
  <c r="K332" i="7"/>
  <c r="G1238" i="7"/>
  <c r="G921" i="7"/>
  <c r="K921" i="7"/>
  <c r="G1285" i="7"/>
  <c r="G1019" i="7"/>
  <c r="G270" i="7"/>
  <c r="K270" i="7"/>
  <c r="G1189" i="7"/>
  <c r="K1189" i="7"/>
  <c r="G1433" i="7"/>
  <c r="G1230" i="7"/>
  <c r="K1230" i="7"/>
  <c r="G757" i="7"/>
  <c r="G1627" i="7"/>
  <c r="K1627" i="7"/>
  <c r="G1493" i="7"/>
  <c r="G1430" i="7"/>
  <c r="K1430" i="7"/>
  <c r="G1214" i="7"/>
  <c r="K1214" i="7"/>
  <c r="G1021" i="7"/>
  <c r="K1021" i="7"/>
  <c r="G338" i="7"/>
  <c r="K338" i="7"/>
  <c r="G330" i="7"/>
  <c r="G1234" i="7"/>
  <c r="G859" i="7"/>
  <c r="K859" i="7"/>
  <c r="G1252" i="7"/>
  <c r="G1222" i="7"/>
  <c r="G1159" i="7"/>
  <c r="G442" i="7"/>
  <c r="K442" i="7"/>
  <c r="G727" i="7"/>
  <c r="K727" i="7"/>
  <c r="G1075" i="7"/>
  <c r="K1075" i="7"/>
  <c r="G670" i="7"/>
  <c r="K670" i="7"/>
  <c r="G1147" i="7"/>
  <c r="K1147" i="7"/>
  <c r="G294" i="7"/>
  <c r="K294" i="7"/>
  <c r="G142" i="7"/>
  <c r="G1461" i="7"/>
  <c r="G761" i="7"/>
  <c r="G368" i="7"/>
  <c r="G80" i="7"/>
  <c r="K80" i="7"/>
  <c r="G590" i="7"/>
  <c r="G845" i="7"/>
  <c r="K845" i="7"/>
  <c r="G1394" i="7"/>
  <c r="G1207" i="7"/>
  <c r="G1535" i="7"/>
  <c r="G239" i="7"/>
  <c r="G1007" i="7"/>
  <c r="K1007" i="7"/>
  <c r="G1154" i="7"/>
  <c r="G1105" i="7"/>
  <c r="G436" i="7"/>
  <c r="K436" i="7"/>
  <c r="G931" i="7"/>
  <c r="K931" i="7"/>
  <c r="G1640" i="7"/>
  <c r="G1630" i="7"/>
  <c r="K1630" i="7"/>
  <c r="G1607" i="7"/>
  <c r="G1591" i="7"/>
  <c r="G1554" i="7"/>
  <c r="K1554" i="7"/>
  <c r="G1544" i="7"/>
  <c r="G1455" i="7"/>
  <c r="G1443" i="7"/>
  <c r="G1449" i="7"/>
  <c r="K1449" i="7"/>
  <c r="G1416" i="7"/>
  <c r="K1416" i="7"/>
  <c r="G1413" i="7"/>
  <c r="G1345" i="7"/>
  <c r="G1344" i="7"/>
  <c r="K1344" i="7"/>
  <c r="G1240" i="7"/>
  <c r="G1236" i="7"/>
  <c r="K1236" i="7"/>
  <c r="G1227" i="7"/>
  <c r="G1047" i="7"/>
  <c r="K1047" i="7"/>
  <c r="G1043" i="7"/>
  <c r="G1042" i="7"/>
  <c r="G1039" i="7"/>
  <c r="G1017" i="7"/>
  <c r="G1014" i="7"/>
  <c r="G1013" i="7"/>
  <c r="G857" i="7"/>
  <c r="K857" i="7"/>
  <c r="G854" i="7"/>
  <c r="K854" i="7"/>
  <c r="G735" i="7"/>
  <c r="G322" i="7"/>
  <c r="G319" i="7"/>
  <c r="G1620" i="7"/>
  <c r="G1600" i="7"/>
  <c r="G1592" i="7"/>
  <c r="G1590" i="7"/>
  <c r="G1576" i="7"/>
  <c r="K1576" i="7"/>
  <c r="G1570" i="7"/>
  <c r="G1569" i="7"/>
  <c r="G1566" i="7"/>
  <c r="G1563" i="7"/>
  <c r="G1560" i="7"/>
  <c r="K1560" i="7"/>
  <c r="G1499" i="7"/>
  <c r="G1491" i="7"/>
  <c r="G1484" i="7"/>
  <c r="G1479" i="7"/>
  <c r="G1476" i="7"/>
  <c r="G1475" i="7"/>
  <c r="G1435" i="7"/>
  <c r="G1424" i="7"/>
  <c r="K1424" i="7"/>
  <c r="G1295" i="7"/>
  <c r="G1286" i="7"/>
  <c r="K1286" i="7"/>
  <c r="G1229" i="7"/>
  <c r="G1068" i="7"/>
  <c r="G1052" i="7"/>
  <c r="G1045" i="7"/>
  <c r="G1041" i="7"/>
  <c r="G1027" i="7"/>
  <c r="K1027" i="7"/>
  <c r="G756" i="7"/>
  <c r="G742" i="7"/>
  <c r="K742" i="7"/>
  <c r="G329" i="7"/>
  <c r="K329" i="7"/>
  <c r="G313" i="7"/>
  <c r="G312" i="7"/>
  <c r="K312" i="7"/>
  <c r="G310" i="7"/>
  <c r="K310" i="7"/>
  <c r="G282" i="7"/>
  <c r="K282" i="7"/>
  <c r="G277" i="7"/>
  <c r="K277" i="7"/>
  <c r="G265" i="7"/>
  <c r="K265" i="7"/>
  <c r="G286" i="7"/>
  <c r="G1517" i="7"/>
  <c r="G1470" i="7"/>
  <c r="G1378" i="7"/>
  <c r="G1352" i="7"/>
  <c r="K1352" i="7"/>
  <c r="G1260" i="7"/>
  <c r="K1260" i="7"/>
  <c r="G1025" i="7"/>
  <c r="K1025" i="7"/>
  <c r="G890" i="7"/>
  <c r="G1581" i="7"/>
  <c r="G1070" i="7"/>
  <c r="G1172" i="7"/>
  <c r="G1183" i="7"/>
  <c r="G479" i="7"/>
  <c r="K479" i="7"/>
  <c r="G1629" i="7"/>
  <c r="G1558" i="7"/>
  <c r="K1558" i="7"/>
  <c r="G1549" i="7"/>
  <c r="K1549" i="7"/>
  <c r="G1509" i="7"/>
  <c r="K1509" i="7"/>
  <c r="G1489" i="7"/>
  <c r="G1456" i="7"/>
  <c r="G1454" i="7"/>
  <c r="G1427" i="7"/>
  <c r="K1427" i="7"/>
  <c r="G1369" i="7"/>
  <c r="G1297" i="7"/>
  <c r="G1290" i="7"/>
  <c r="G1246" i="7"/>
  <c r="K1246" i="7"/>
  <c r="G1065" i="7"/>
  <c r="G1071" i="7"/>
  <c r="K1071" i="7"/>
  <c r="G1044" i="7"/>
  <c r="G679" i="7"/>
  <c r="K679" i="7"/>
  <c r="G684" i="7"/>
  <c r="G689" i="7"/>
  <c r="K689" i="7"/>
  <c r="G693" i="7"/>
  <c r="K693" i="7"/>
  <c r="G717" i="7"/>
  <c r="K717" i="7"/>
  <c r="G472" i="7"/>
  <c r="K472" i="7"/>
  <c r="G484" i="7"/>
  <c r="K484" i="7"/>
  <c r="G492" i="7"/>
  <c r="K492" i="7"/>
  <c r="G1628" i="7"/>
  <c r="G1623" i="7"/>
  <c r="K1623" i="7"/>
  <c r="G1284" i="7"/>
  <c r="G1064" i="7"/>
  <c r="G967" i="7"/>
  <c r="G1645" i="7"/>
  <c r="G782" i="7"/>
  <c r="K782" i="7"/>
  <c r="G788" i="7"/>
  <c r="K788" i="7"/>
  <c r="G794" i="7"/>
  <c r="G815" i="7"/>
  <c r="G803" i="7"/>
  <c r="G797" i="7"/>
  <c r="G819" i="7"/>
  <c r="K819" i="7"/>
  <c r="G838" i="7"/>
  <c r="K838" i="7"/>
  <c r="G106" i="7"/>
  <c r="K106" i="7"/>
  <c r="G878" i="7"/>
  <c r="G125" i="7"/>
  <c r="G115" i="7"/>
  <c r="K115" i="7"/>
  <c r="G494" i="7"/>
  <c r="G1636" i="7"/>
  <c r="G1635" i="7"/>
  <c r="K1635" i="7"/>
  <c r="G1565" i="7"/>
  <c r="K1565" i="7"/>
  <c r="G1559" i="7"/>
  <c r="G1049" i="7"/>
  <c r="K1049" i="7"/>
  <c r="G1032" i="7"/>
  <c r="K1032" i="7"/>
  <c r="G777" i="7"/>
  <c r="K777" i="7"/>
  <c r="G994" i="7"/>
  <c r="K994" i="7"/>
  <c r="G740" i="7"/>
  <c r="K740" i="7"/>
  <c r="G736" i="7"/>
  <c r="K736" i="7"/>
  <c r="G682" i="7"/>
  <c r="G687" i="7"/>
  <c r="G692" i="7"/>
  <c r="K692" i="7"/>
  <c r="G697" i="7"/>
  <c r="K697" i="7"/>
  <c r="G720" i="7"/>
  <c r="K720" i="7"/>
  <c r="G695" i="7"/>
  <c r="K695" i="7"/>
  <c r="G722" i="7"/>
  <c r="K722" i="7"/>
  <c r="G616" i="7"/>
  <c r="K616" i="7"/>
  <c r="G1139" i="7"/>
  <c r="G1143" i="7"/>
  <c r="K1143" i="7"/>
  <c r="G491" i="7"/>
  <c r="G497" i="7"/>
  <c r="K497" i="7"/>
  <c r="G779" i="7"/>
  <c r="G787" i="7"/>
  <c r="G793" i="7"/>
  <c r="G829" i="7"/>
  <c r="K829" i="7"/>
  <c r="G817" i="7"/>
  <c r="G835" i="7"/>
  <c r="K835" i="7"/>
  <c r="G799" i="7"/>
  <c r="G121" i="7"/>
  <c r="K121" i="7"/>
  <c r="G1320" i="7"/>
  <c r="K1320" i="7"/>
  <c r="G1170" i="7"/>
  <c r="G202" i="7"/>
  <c r="K202" i="7"/>
  <c r="G1562" i="7"/>
  <c r="K1562" i="7"/>
  <c r="G1298" i="7"/>
  <c r="K1298" i="7"/>
  <c r="G1296" i="7"/>
  <c r="G1179" i="7"/>
  <c r="K1179" i="7"/>
  <c r="G678" i="7"/>
  <c r="G602" i="7"/>
  <c r="K602" i="7"/>
  <c r="G1090" i="7"/>
  <c r="G456" i="7"/>
  <c r="G1004" i="7"/>
  <c r="K1004" i="7"/>
  <c r="G1633" i="7"/>
  <c r="K1633" i="7"/>
  <c r="G612" i="7"/>
  <c r="G676" i="7"/>
  <c r="K676" i="7"/>
  <c r="G1086" i="7"/>
  <c r="K1086" i="7"/>
  <c r="G1508" i="7"/>
  <c r="K1508" i="7"/>
  <c r="G1631" i="7"/>
  <c r="G1294" i="7"/>
  <c r="G1414" i="7"/>
  <c r="G1401" i="7"/>
  <c r="G780" i="7"/>
  <c r="G1182" i="7"/>
  <c r="G475" i="7"/>
  <c r="K475" i="7"/>
  <c r="G1034" i="7"/>
  <c r="K1034" i="7"/>
  <c r="G1322" i="7"/>
  <c r="G1641" i="7"/>
  <c r="G1604" i="7"/>
  <c r="G876" i="7"/>
  <c r="G863" i="7"/>
  <c r="K863" i="7"/>
  <c r="J1469" i="7"/>
  <c r="K1469" i="7"/>
  <c r="G1363" i="7"/>
  <c r="K1363" i="7"/>
  <c r="G1361" i="7"/>
  <c r="K1361" i="7"/>
  <c r="G555" i="7"/>
  <c r="K555" i="7"/>
  <c r="G1567" i="7"/>
  <c r="G1506" i="7"/>
  <c r="G855" i="7"/>
  <c r="G776" i="7"/>
  <c r="G822" i="7"/>
  <c r="K822" i="7"/>
  <c r="G813" i="7"/>
  <c r="K813" i="7"/>
  <c r="G1624" i="7"/>
  <c r="G1521" i="7"/>
  <c r="K1521" i="7"/>
  <c r="G873" i="7"/>
  <c r="K873" i="7"/>
  <c r="G480" i="7"/>
  <c r="G1371" i="7"/>
  <c r="G1051" i="7"/>
  <c r="K1051" i="7"/>
  <c r="G1603" i="7"/>
  <c r="G1546" i="7"/>
  <c r="K1546" i="7"/>
  <c r="G1251" i="7"/>
  <c r="G91" i="7"/>
  <c r="K91" i="7"/>
  <c r="G885" i="7"/>
  <c r="K885" i="7"/>
  <c r="G1279" i="7"/>
  <c r="G1181" i="7"/>
  <c r="K1181" i="7"/>
  <c r="G482" i="7"/>
  <c r="K482" i="7"/>
  <c r="G122" i="7"/>
  <c r="G257" i="7"/>
  <c r="G466" i="7"/>
  <c r="G360" i="7"/>
  <c r="G477" i="7"/>
  <c r="K477" i="7"/>
  <c r="G468" i="7"/>
  <c r="K468" i="7"/>
  <c r="J625" i="7"/>
  <c r="K625" i="7"/>
  <c r="J42" i="7"/>
  <c r="J456" i="7"/>
  <c r="K456" i="7"/>
  <c r="J1094" i="7"/>
  <c r="K1094" i="7"/>
  <c r="J1068" i="7"/>
  <c r="K1068" i="7"/>
  <c r="J47" i="7"/>
  <c r="K47" i="7"/>
  <c r="J1171" i="7"/>
  <c r="K1171" i="7"/>
  <c r="J256" i="7"/>
  <c r="J105" i="7"/>
  <c r="K105" i="7"/>
  <c r="J411" i="7"/>
  <c r="K411" i="7"/>
  <c r="J1136" i="7"/>
  <c r="K1136" i="7"/>
  <c r="J967" i="7"/>
  <c r="K967" i="7"/>
  <c r="J1159" i="7"/>
  <c r="J1294" i="7"/>
  <c r="J733" i="7"/>
  <c r="K733" i="7"/>
  <c r="J1621" i="7"/>
  <c r="J915" i="7"/>
  <c r="K915" i="7"/>
  <c r="J1591" i="7"/>
  <c r="K1591" i="7"/>
  <c r="J361" i="7"/>
  <c r="J529" i="7"/>
  <c r="J100" i="7"/>
  <c r="K100" i="7"/>
  <c r="J1279" i="7"/>
  <c r="J379" i="7"/>
  <c r="K379" i="7"/>
  <c r="J186" i="7"/>
  <c r="J1081" i="7"/>
  <c r="K1081" i="7"/>
  <c r="J1570" i="7"/>
  <c r="K1570" i="7"/>
  <c r="J345" i="7"/>
  <c r="K345" i="7"/>
  <c r="J328" i="7"/>
  <c r="K328" i="7"/>
  <c r="J644" i="7"/>
  <c r="K644" i="7"/>
  <c r="J319" i="7"/>
  <c r="J817" i="7"/>
  <c r="K817" i="7"/>
  <c r="J1552" i="7"/>
  <c r="K1552" i="7"/>
  <c r="J701" i="7"/>
  <c r="K701" i="7"/>
  <c r="J1487" i="7"/>
  <c r="K1487" i="7"/>
  <c r="J1112" i="7"/>
  <c r="J354" i="7"/>
  <c r="K354" i="7"/>
  <c r="J341" i="7"/>
  <c r="J299" i="7"/>
  <c r="J795" i="7"/>
  <c r="J1183" i="7"/>
  <c r="K1183" i="7"/>
  <c r="J466" i="7"/>
  <c r="K466" i="7"/>
  <c r="J383" i="7"/>
  <c r="K383" i="7"/>
  <c r="J977" i="7"/>
  <c r="K977" i="7"/>
  <c r="J1551" i="7"/>
  <c r="J745" i="7"/>
  <c r="J918" i="7"/>
  <c r="J855" i="7"/>
  <c r="K855" i="7"/>
  <c r="J1253" i="7"/>
  <c r="J1400" i="7"/>
  <c r="K1400" i="7"/>
  <c r="J1107" i="7"/>
  <c r="K1107" i="7"/>
  <c r="J382" i="7"/>
  <c r="H5" i="1"/>
  <c r="I5" i="1"/>
  <c r="K1203" i="7"/>
  <c r="K139" i="7"/>
  <c r="K1192" i="7"/>
  <c r="I5" i="2"/>
  <c r="K1135" i="7"/>
  <c r="K166" i="7"/>
  <c r="F1010" i="24"/>
  <c r="K157" i="7"/>
  <c r="K629" i="7"/>
  <c r="F1462" i="24"/>
  <c r="K21" i="7"/>
  <c r="K1193" i="7"/>
  <c r="K45" i="7"/>
  <c r="K159" i="7"/>
  <c r="K976" i="7"/>
  <c r="K999" i="7"/>
  <c r="K626" i="7"/>
  <c r="E1462" i="24"/>
  <c r="K970" i="7"/>
  <c r="K985" i="7"/>
  <c r="K1202" i="7"/>
  <c r="K874" i="7"/>
  <c r="K503" i="7"/>
  <c r="K971" i="7"/>
  <c r="E909" i="24"/>
  <c r="E905" i="24"/>
  <c r="E903" i="24"/>
  <c r="F1148" i="24"/>
  <c r="F1076" i="24"/>
  <c r="E846" i="24"/>
  <c r="K502" i="7"/>
  <c r="K455" i="7"/>
  <c r="K349" i="7"/>
  <c r="K1134" i="7"/>
  <c r="K688" i="7"/>
  <c r="K1097" i="7"/>
  <c r="K41" i="7"/>
  <c r="K19" i="7"/>
  <c r="I903" i="7"/>
  <c r="K757" i="7"/>
  <c r="K562" i="7"/>
  <c r="K542" i="7"/>
  <c r="H78" i="7"/>
  <c r="K1200" i="7"/>
  <c r="K510" i="7"/>
  <c r="K914" i="7"/>
  <c r="K402" i="7"/>
  <c r="K414" i="7"/>
  <c r="K512" i="7"/>
  <c r="K1139" i="7"/>
  <c r="K1431" i="7"/>
  <c r="K384" i="7"/>
  <c r="K399" i="7"/>
  <c r="K550" i="7"/>
  <c r="K1106" i="7"/>
  <c r="K639" i="7"/>
  <c r="K1123" i="7"/>
  <c r="K499" i="7"/>
  <c r="K837" i="7"/>
  <c r="K660" i="7"/>
  <c r="K1172" i="7"/>
  <c r="K1093" i="7"/>
  <c r="K463" i="7"/>
  <c r="K454" i="7"/>
  <c r="K160" i="7"/>
  <c r="K25" i="7"/>
  <c r="K721" i="7"/>
  <c r="K649" i="7"/>
  <c r="K661" i="7"/>
  <c r="E845" i="17"/>
  <c r="F1078" i="24"/>
  <c r="E1148" i="24"/>
  <c r="E1150" i="24"/>
  <c r="E1394" i="17"/>
  <c r="K1322" i="7"/>
  <c r="K1242" i="7"/>
  <c r="K1212" i="7"/>
  <c r="K1069" i="7"/>
  <c r="K180" i="7"/>
  <c r="K92" i="7"/>
  <c r="K450" i="7"/>
  <c r="K839" i="7"/>
  <c r="K796" i="7"/>
  <c r="K808" i="7"/>
  <c r="K825" i="7"/>
  <c r="K1237" i="7"/>
  <c r="K559" i="7"/>
  <c r="K719" i="7"/>
  <c r="F370" i="24"/>
  <c r="E596" i="24"/>
  <c r="F594" i="24"/>
  <c r="F592" i="24"/>
  <c r="F1340" i="24"/>
  <c r="F1338" i="24"/>
  <c r="K1130" i="7"/>
  <c r="K1096" i="7"/>
  <c r="J33" i="7"/>
  <c r="J1443" i="7"/>
  <c r="K1443" i="7"/>
  <c r="J390" i="7"/>
  <c r="J544" i="7"/>
  <c r="J877" i="7"/>
  <c r="K877" i="7"/>
  <c r="J246" i="7"/>
  <c r="J1607" i="7"/>
  <c r="K1607" i="7"/>
  <c r="J501" i="7"/>
  <c r="K501" i="7"/>
  <c r="K179" i="7"/>
  <c r="K94" i="7"/>
  <c r="K975" i="7"/>
  <c r="K702" i="7"/>
  <c r="K705" i="7"/>
  <c r="K608" i="7"/>
  <c r="K655" i="7"/>
  <c r="K1108" i="7"/>
  <c r="K1120" i="7"/>
  <c r="K601" i="7"/>
  <c r="K1133" i="7"/>
  <c r="K467" i="7"/>
  <c r="K1530" i="7"/>
  <c r="K109" i="7"/>
  <c r="K939" i="7"/>
  <c r="K653" i="7"/>
  <c r="I11" i="1"/>
  <c r="I15" i="1"/>
  <c r="I24" i="1"/>
  <c r="I26" i="1"/>
  <c r="I26" i="2"/>
  <c r="I14" i="2"/>
  <c r="I4" i="2"/>
  <c r="I27" i="2"/>
  <c r="I24" i="2"/>
  <c r="G29" i="1"/>
  <c r="I20" i="1"/>
  <c r="I8" i="1"/>
  <c r="I23" i="1"/>
  <c r="I19" i="1"/>
  <c r="I16" i="1"/>
  <c r="I9" i="1"/>
  <c r="K1559" i="7"/>
  <c r="E9" i="24"/>
  <c r="F765" i="24"/>
  <c r="F761" i="24"/>
  <c r="F759" i="24"/>
  <c r="F1150" i="24"/>
  <c r="K1406" i="7"/>
  <c r="K938" i="7"/>
  <c r="K781" i="7"/>
  <c r="K438" i="7"/>
  <c r="K203" i="7"/>
  <c r="E1008" i="24"/>
  <c r="K1605" i="7"/>
  <c r="K945" i="7"/>
  <c r="K181" i="7"/>
  <c r="K177" i="7"/>
  <c r="K184" i="7"/>
  <c r="K215" i="7"/>
  <c r="K924" i="7"/>
  <c r="K946" i="7"/>
  <c r="K925" i="7"/>
  <c r="K1000" i="7"/>
  <c r="K737" i="7"/>
  <c r="K716" i="7"/>
  <c r="F909" i="24"/>
  <c r="F905" i="24"/>
  <c r="F903" i="24"/>
  <c r="E1078" i="24"/>
  <c r="E1536" i="24"/>
  <c r="E1533" i="7"/>
  <c r="K337" i="7"/>
  <c r="K130" i="7"/>
  <c r="K962" i="7"/>
  <c r="K564" i="7"/>
  <c r="F140" i="7"/>
  <c r="E1145" i="7"/>
  <c r="E1334" i="7"/>
  <c r="K684" i="7"/>
  <c r="K1060" i="7"/>
  <c r="K893" i="7"/>
  <c r="K380" i="7"/>
  <c r="K118" i="7"/>
  <c r="K182" i="7"/>
  <c r="K196" i="7"/>
  <c r="K928" i="7"/>
  <c r="K934" i="7"/>
  <c r="E29" i="2"/>
  <c r="K1188" i="7"/>
  <c r="K1155" i="7"/>
  <c r="K132" i="7"/>
  <c r="K185" i="7"/>
  <c r="K155" i="7"/>
  <c r="K606" i="7"/>
  <c r="K659" i="7"/>
  <c r="K1125" i="7"/>
  <c r="K1129" i="7"/>
  <c r="K806" i="7"/>
  <c r="F1147" i="17"/>
  <c r="E1272" i="24"/>
  <c r="E1269" i="24"/>
  <c r="F725" i="7"/>
  <c r="E1267" i="7"/>
  <c r="E1459" i="7"/>
  <c r="K1182" i="7"/>
  <c r="K1234" i="7"/>
  <c r="K1369" i="7"/>
  <c r="K1238" i="7"/>
  <c r="E1205" i="7"/>
  <c r="E1392" i="7"/>
  <c r="E1592" i="7"/>
  <c r="K568" i="7"/>
  <c r="K377" i="7"/>
  <c r="K102" i="7"/>
  <c r="K55" i="7"/>
  <c r="K35" i="7"/>
  <c r="K996" i="7"/>
  <c r="F1209" i="24"/>
  <c r="E1270" i="24"/>
  <c r="E1276" i="24"/>
  <c r="F1536" i="24"/>
  <c r="F1535" i="24"/>
  <c r="K856" i="7"/>
  <c r="F1337" i="24"/>
  <c r="K982" i="7"/>
  <c r="F596" i="24"/>
  <c r="K224" i="7"/>
  <c r="E1464" i="24"/>
  <c r="F1464" i="24"/>
  <c r="E1461" i="17"/>
  <c r="F1270" i="24"/>
  <c r="E1535" i="17"/>
  <c r="K1222" i="7"/>
  <c r="K1054" i="7"/>
  <c r="K222" i="7"/>
  <c r="K156" i="7"/>
  <c r="K212" i="7"/>
  <c r="K231" i="7"/>
  <c r="K965" i="7"/>
  <c r="K963" i="7"/>
  <c r="K618" i="7"/>
  <c r="K803" i="7"/>
  <c r="K836" i="7"/>
  <c r="K832" i="7"/>
  <c r="K816" i="7"/>
  <c r="K573" i="7"/>
  <c r="E594" i="24"/>
  <c r="E1340" i="24"/>
  <c r="K794" i="7"/>
  <c r="K1263" i="7"/>
  <c r="K142" i="7"/>
  <c r="K1500" i="7"/>
  <c r="K1488" i="7"/>
  <c r="K1473" i="7"/>
  <c r="K1330" i="7"/>
  <c r="K1244" i="7"/>
  <c r="K495" i="7"/>
  <c r="K706" i="7"/>
  <c r="K623" i="7"/>
  <c r="K656" i="7"/>
  <c r="E1007" i="17"/>
  <c r="K239" i="7"/>
  <c r="K709" i="7"/>
  <c r="K458" i="7"/>
  <c r="K412" i="7"/>
  <c r="K31" i="7"/>
  <c r="K27" i="7"/>
  <c r="E911" i="24"/>
  <c r="E1152" i="24"/>
  <c r="F1272" i="24"/>
  <c r="F728" i="24"/>
  <c r="E1209" i="24"/>
  <c r="K955" i="7"/>
  <c r="K1652" i="7"/>
  <c r="F911" i="24"/>
  <c r="F1152" i="24"/>
  <c r="F764" i="24"/>
  <c r="E370" i="24"/>
  <c r="E368" i="24"/>
  <c r="E366" i="24"/>
  <c r="K942" i="7"/>
  <c r="K1241" i="7"/>
  <c r="K429" i="7"/>
  <c r="K387" i="7"/>
  <c r="K590" i="7"/>
  <c r="K1389" i="7"/>
  <c r="K1351" i="7"/>
  <c r="K1347" i="7"/>
  <c r="K662" i="7"/>
  <c r="K343" i="7"/>
  <c r="K335" i="7"/>
  <c r="K321" i="7"/>
  <c r="K315" i="7"/>
  <c r="K305" i="7"/>
  <c r="K40" i="7"/>
  <c r="K174" i="7"/>
  <c r="K234" i="7"/>
  <c r="K947" i="7"/>
  <c r="K959" i="7"/>
  <c r="K956" i="7"/>
  <c r="K988" i="7"/>
  <c r="K713" i="7"/>
  <c r="K609" i="7"/>
  <c r="K1088" i="7"/>
  <c r="K473" i="7"/>
  <c r="K801" i="7"/>
  <c r="K828" i="7"/>
  <c r="K814" i="7"/>
  <c r="E592" i="24"/>
  <c r="E1337" i="24"/>
  <c r="K890" i="7"/>
  <c r="K1566" i="7"/>
  <c r="K1527" i="7"/>
  <c r="K1447" i="7"/>
  <c r="K1283" i="7"/>
  <c r="K1119" i="7"/>
  <c r="K1031" i="7"/>
  <c r="K232" i="7"/>
  <c r="K227" i="7"/>
  <c r="K187" i="7"/>
  <c r="K779" i="7"/>
  <c r="K1065" i="7"/>
  <c r="K1499" i="7"/>
  <c r="K1055" i="7"/>
  <c r="K599" i="7"/>
  <c r="K533" i="7"/>
  <c r="K390" i="7"/>
  <c r="K420" i="7"/>
  <c r="K29" i="7"/>
  <c r="K192" i="7"/>
  <c r="K204" i="7"/>
  <c r="K940" i="7"/>
  <c r="K954" i="7"/>
  <c r="K704" i="7"/>
  <c r="K636" i="7"/>
  <c r="K821" i="7"/>
  <c r="E13" i="24"/>
  <c r="E147" i="24"/>
  <c r="E1338" i="24"/>
  <c r="E80" i="17"/>
  <c r="K470" i="7"/>
  <c r="K104" i="7"/>
  <c r="K1232" i="7"/>
  <c r="K892" i="7"/>
  <c r="K530" i="7"/>
  <c r="K1105" i="7"/>
  <c r="K393" i="7"/>
  <c r="K1485" i="7"/>
  <c r="K1458" i="7"/>
  <c r="K1358" i="7"/>
  <c r="K303" i="7"/>
  <c r="K677" i="7"/>
  <c r="K772" i="7"/>
  <c r="K905" i="7"/>
  <c r="K528" i="7"/>
  <c r="K406" i="7"/>
  <c r="K951" i="7"/>
  <c r="K651" i="7"/>
  <c r="E84" i="24"/>
  <c r="K50" i="7"/>
  <c r="K1157" i="7"/>
  <c r="K194" i="7"/>
  <c r="K220" i="7"/>
  <c r="K233" i="7"/>
  <c r="K665" i="7"/>
  <c r="K647" i="7"/>
  <c r="K1110" i="7"/>
  <c r="K506" i="7"/>
  <c r="K571" i="7"/>
  <c r="K551" i="7"/>
  <c r="K422" i="7"/>
  <c r="K317" i="7"/>
  <c r="K251" i="7"/>
  <c r="K96" i="7"/>
  <c r="K89" i="7"/>
  <c r="K48" i="7"/>
  <c r="K23" i="7"/>
  <c r="K152" i="7"/>
  <c r="K161" i="7"/>
  <c r="K200" i="7"/>
  <c r="K206" i="7"/>
  <c r="K213" i="7"/>
  <c r="K986" i="7"/>
  <c r="K617" i="7"/>
  <c r="K641" i="7"/>
  <c r="K635" i="7"/>
  <c r="K1111" i="7"/>
  <c r="K478" i="7"/>
  <c r="K69" i="7"/>
  <c r="K43" i="7"/>
  <c r="K1201" i="7"/>
  <c r="K183" i="7"/>
  <c r="K207" i="7"/>
  <c r="K235" i="7"/>
  <c r="K926" i="7"/>
  <c r="K718" i="7"/>
  <c r="K724" i="7"/>
  <c r="K1087" i="7"/>
  <c r="K1116" i="7"/>
  <c r="K486" i="7"/>
  <c r="K489" i="7"/>
  <c r="K834" i="7"/>
  <c r="K453" i="7"/>
  <c r="K778" i="7"/>
  <c r="K1033" i="7"/>
  <c r="K526" i="7"/>
  <c r="K17" i="7"/>
  <c r="K1282" i="7"/>
  <c r="K173" i="7"/>
  <c r="K936" i="7"/>
  <c r="K1581" i="7"/>
  <c r="K991" i="7"/>
  <c r="K678" i="7"/>
  <c r="K469" i="7"/>
  <c r="K476" i="7"/>
  <c r="K487" i="7"/>
  <c r="K1324" i="7"/>
  <c r="E1596" i="24"/>
  <c r="F1596" i="24"/>
  <c r="E1598" i="24"/>
  <c r="F1598" i="24"/>
  <c r="K368" i="7"/>
  <c r="K1504" i="7"/>
  <c r="K167" i="7"/>
  <c r="K775" i="7"/>
  <c r="K1517" i="7"/>
  <c r="K1413" i="7"/>
  <c r="K1323" i="7"/>
  <c r="K122" i="7"/>
  <c r="K1294" i="7"/>
  <c r="K1164" i="7"/>
  <c r="K1059" i="7"/>
  <c r="K1044" i="7"/>
  <c r="K889" i="7"/>
  <c r="K683" i="7"/>
  <c r="K205" i="7"/>
  <c r="K199" i="7"/>
  <c r="K249" i="7"/>
  <c r="K353" i="7"/>
  <c r="K1639" i="7"/>
  <c r="K1636" i="7"/>
  <c r="K1553" i="7"/>
  <c r="K1550" i="7"/>
  <c r="K1547" i="7"/>
  <c r="K1367" i="7"/>
  <c r="K1360" i="7"/>
  <c r="K1100" i="7"/>
  <c r="K1013" i="7"/>
  <c r="K878" i="7"/>
  <c r="K756" i="7"/>
  <c r="K171" i="7"/>
  <c r="K1280" i="7"/>
  <c r="K1249" i="7"/>
  <c r="K1226" i="7"/>
  <c r="K1220" i="7"/>
  <c r="K899" i="7"/>
  <c r="K426" i="7"/>
  <c r="K439" i="7"/>
  <c r="K400" i="7"/>
  <c r="K405" i="7"/>
  <c r="K381" i="7"/>
  <c r="K364" i="7"/>
  <c r="K357" i="7"/>
  <c r="K361" i="7"/>
  <c r="K334" i="7"/>
  <c r="K325" i="7"/>
  <c r="K323" i="7"/>
  <c r="K320" i="7"/>
  <c r="K316" i="7"/>
  <c r="K306" i="7"/>
  <c r="K304" i="7"/>
  <c r="K302" i="7"/>
  <c r="K300" i="7"/>
  <c r="K259" i="7"/>
  <c r="K267" i="7"/>
  <c r="K274" i="7"/>
  <c r="K1195" i="7"/>
  <c r="K228" i="7"/>
  <c r="K966" i="7"/>
  <c r="K995" i="7"/>
  <c r="K691" i="7"/>
  <c r="K604" i="7"/>
  <c r="K802" i="7"/>
  <c r="K32" i="7"/>
  <c r="K712" i="7"/>
  <c r="H843" i="7"/>
  <c r="K86" i="7"/>
  <c r="K64" i="7"/>
  <c r="K73" i="7"/>
  <c r="K63" i="7"/>
  <c r="K645" i="7"/>
  <c r="K1124" i="7"/>
  <c r="K1502" i="7"/>
  <c r="K1474" i="7"/>
  <c r="K1472" i="7"/>
  <c r="K1467" i="7"/>
  <c r="K1450" i="7"/>
  <c r="K1441" i="7"/>
  <c r="K1452" i="7"/>
  <c r="K1444" i="7"/>
  <c r="K1439" i="7"/>
  <c r="K1434" i="7"/>
  <c r="K1421" i="7"/>
  <c r="K1419" i="7"/>
  <c r="K1382" i="7"/>
  <c r="K1383" i="7"/>
  <c r="K1374" i="7"/>
  <c r="K1370" i="7"/>
  <c r="K1366" i="7"/>
  <c r="K1364" i="7"/>
  <c r="K1354" i="7"/>
  <c r="K1345" i="7"/>
  <c r="K1303" i="7"/>
  <c r="K1317" i="7"/>
  <c r="K1319" i="7"/>
  <c r="K1311" i="7"/>
  <c r="K1307" i="7"/>
  <c r="K1300" i="7"/>
  <c r="K1331" i="7"/>
  <c r="K1261" i="7"/>
  <c r="K1256" i="7"/>
  <c r="K1240" i="7"/>
  <c r="K1235" i="7"/>
  <c r="K1227" i="7"/>
  <c r="K1223" i="7"/>
  <c r="K1175" i="7"/>
  <c r="K575" i="7"/>
  <c r="K572" i="7"/>
  <c r="K553" i="7"/>
  <c r="K433" i="7"/>
  <c r="K283" i="7"/>
  <c r="K280" i="7"/>
  <c r="K254" i="7"/>
  <c r="K252" i="7"/>
  <c r="K247" i="7"/>
  <c r="K216" i="7"/>
  <c r="K138" i="7"/>
  <c r="K131" i="7"/>
  <c r="K116" i="7"/>
  <c r="K113" i="7"/>
  <c r="K56" i="7"/>
  <c r="K664" i="7"/>
  <c r="K824" i="7"/>
  <c r="K840" i="7"/>
  <c r="F13" i="24"/>
  <c r="E1594" i="17"/>
  <c r="E240" i="24"/>
  <c r="F298" i="24"/>
  <c r="E910" i="24"/>
  <c r="E1077" i="24"/>
  <c r="F1207" i="17"/>
  <c r="F1269" i="17"/>
  <c r="F1275" i="24"/>
  <c r="E1275" i="24"/>
  <c r="F670" i="17"/>
  <c r="F849" i="24"/>
  <c r="E673" i="24"/>
  <c r="E443" i="24"/>
  <c r="K1128" i="7"/>
  <c r="F591" i="24"/>
  <c r="F590" i="24"/>
  <c r="F588" i="24"/>
  <c r="E847" i="24"/>
  <c r="F1009" i="24"/>
  <c r="E1463" i="24"/>
  <c r="F1537" i="24"/>
  <c r="F768" i="24"/>
  <c r="F730" i="24"/>
  <c r="E730" i="24"/>
  <c r="F847" i="24"/>
  <c r="E671" i="24"/>
  <c r="F240" i="24"/>
  <c r="E591" i="24"/>
  <c r="K1642" i="7"/>
  <c r="K973" i="7"/>
  <c r="K861" i="7"/>
  <c r="K125" i="7"/>
  <c r="K1445" i="7"/>
  <c r="K1293" i="7"/>
  <c r="K919" i="7"/>
  <c r="K425" i="7"/>
  <c r="K266" i="7"/>
  <c r="K289" i="7"/>
  <c r="K1647" i="7"/>
  <c r="K133" i="7"/>
  <c r="K1173" i="7"/>
  <c r="K1199" i="7"/>
  <c r="K226" i="7"/>
  <c r="E524" i="24"/>
  <c r="E765" i="24"/>
  <c r="E1076" i="24"/>
  <c r="H759" i="7"/>
  <c r="H1005" i="7"/>
  <c r="K1050" i="7"/>
  <c r="K1483" i="7"/>
  <c r="K1480" i="7"/>
  <c r="K1180" i="7"/>
  <c r="K937" i="7"/>
  <c r="K743" i="7"/>
  <c r="K288" i="7"/>
  <c r="K654" i="7"/>
  <c r="K1144" i="7"/>
  <c r="F1592" i="7"/>
  <c r="K1253" i="7"/>
  <c r="K1454" i="7"/>
  <c r="K330" i="7"/>
  <c r="K1219" i="7"/>
  <c r="K190" i="7"/>
  <c r="K1432" i="7"/>
  <c r="K1655" i="7"/>
  <c r="K1362" i="7"/>
  <c r="K1346" i="7"/>
  <c r="K1306" i="7"/>
  <c r="K1243" i="7"/>
  <c r="K1228" i="7"/>
  <c r="K1072" i="7"/>
  <c r="K944" i="7"/>
  <c r="K894" i="7"/>
  <c r="K884" i="7"/>
  <c r="K880" i="7"/>
  <c r="K610" i="7"/>
  <c r="K388" i="7"/>
  <c r="K437" i="7"/>
  <c r="K427" i="7"/>
  <c r="K398" i="7"/>
  <c r="K333" i="7"/>
  <c r="K195" i="7"/>
  <c r="K136" i="7"/>
  <c r="K135" i="7"/>
  <c r="K223" i="7"/>
  <c r="K998" i="7"/>
  <c r="K1126" i="7"/>
  <c r="K632" i="7"/>
  <c r="K624" i="7"/>
  <c r="K771" i="7"/>
  <c r="K792" i="7"/>
  <c r="F82" i="24"/>
  <c r="F84" i="24"/>
  <c r="E296" i="24"/>
  <c r="F445" i="24"/>
  <c r="E447" i="24"/>
  <c r="E728" i="24"/>
  <c r="E727" i="24"/>
  <c r="E725" i="24"/>
  <c r="F762" i="24"/>
  <c r="E1395" i="24"/>
  <c r="E1465" i="24"/>
  <c r="F366" i="7"/>
  <c r="F440" i="7"/>
  <c r="F903" i="7"/>
  <c r="K382" i="7"/>
  <c r="K319" i="7"/>
  <c r="K1302" i="7"/>
  <c r="K882" i="7"/>
  <c r="E242" i="24"/>
  <c r="F1008" i="24"/>
  <c r="F1007" i="24"/>
  <c r="F1005" i="24"/>
  <c r="E1010" i="24"/>
  <c r="F147" i="24"/>
  <c r="F78" i="7"/>
  <c r="F237" i="7"/>
  <c r="F292" i="7"/>
  <c r="H1592" i="7"/>
  <c r="K257" i="7"/>
  <c r="K1378" i="7"/>
  <c r="K1112" i="7"/>
  <c r="K1651" i="7"/>
  <c r="K1568" i="7"/>
  <c r="K1506" i="7"/>
  <c r="K362" i="7"/>
  <c r="K1198" i="7"/>
  <c r="K978" i="7"/>
  <c r="E523" i="24"/>
  <c r="E908" i="24"/>
  <c r="F1005" i="7"/>
  <c r="F1073" i="7"/>
  <c r="K1643" i="7"/>
  <c r="K1640" i="7"/>
  <c r="K1571" i="7"/>
  <c r="K1365" i="7"/>
  <c r="K748" i="7"/>
  <c r="K421" i="7"/>
  <c r="K77" i="7"/>
  <c r="K1177" i="7"/>
  <c r="F11" i="24"/>
  <c r="K1215" i="7"/>
  <c r="K872" i="7"/>
  <c r="K1295" i="7"/>
  <c r="K1626" i="7"/>
  <c r="K1616" i="7"/>
  <c r="K1587" i="7"/>
  <c r="K1486" i="7"/>
  <c r="K1446" i="7"/>
  <c r="K1429" i="7"/>
  <c r="K1387" i="7"/>
  <c r="K1321" i="7"/>
  <c r="K1312" i="7"/>
  <c r="K1062" i="7"/>
  <c r="K1030" i="7"/>
  <c r="K569" i="7"/>
  <c r="K543" i="7"/>
  <c r="K541" i="7"/>
  <c r="K401" i="7"/>
  <c r="K943" i="7"/>
  <c r="K498" i="7"/>
  <c r="K137" i="7"/>
  <c r="H1459" i="7"/>
  <c r="F522" i="24"/>
  <c r="K1601" i="7"/>
  <c r="K560" i="7"/>
  <c r="K58" i="7"/>
  <c r="K451" i="7"/>
  <c r="K798" i="7"/>
  <c r="K87" i="7"/>
  <c r="K163" i="7"/>
  <c r="K981" i="7"/>
  <c r="K633" i="7"/>
  <c r="K483" i="7"/>
  <c r="K789" i="7"/>
  <c r="K71" i="7"/>
  <c r="K129" i="7"/>
  <c r="K1308" i="7"/>
  <c r="K852" i="7"/>
  <c r="K561" i="7"/>
  <c r="K417" i="7"/>
  <c r="K66" i="7"/>
  <c r="K611" i="7"/>
  <c r="K621" i="7"/>
  <c r="K800" i="7"/>
  <c r="K1197" i="7"/>
  <c r="K613" i="7"/>
  <c r="K851" i="7"/>
  <c r="K327" i="7"/>
  <c r="K90" i="7"/>
  <c r="K186" i="7"/>
  <c r="K1284" i="7"/>
  <c r="K920" i="7"/>
  <c r="K1435" i="7"/>
  <c r="K491" i="7"/>
  <c r="K797" i="7"/>
  <c r="K1292" i="7"/>
  <c r="K108" i="7"/>
  <c r="K98" i="7"/>
  <c r="K865" i="7"/>
  <c r="K1657" i="7"/>
  <c r="K1644" i="7"/>
  <c r="K1580" i="7"/>
  <c r="K1585" i="7"/>
  <c r="K1491" i="7"/>
  <c r="K1470" i="7"/>
  <c r="K1455" i="7"/>
  <c r="K868" i="7"/>
  <c r="K858" i="7"/>
  <c r="K1621" i="7"/>
  <c r="K1014" i="7"/>
  <c r="K1297" i="7"/>
  <c r="K1606" i="7"/>
  <c r="K1582" i="7"/>
  <c r="K1490" i="7"/>
  <c r="K1481" i="7"/>
  <c r="K1428" i="7"/>
  <c r="K1042" i="7"/>
  <c r="K1039" i="7"/>
  <c r="K758" i="7"/>
  <c r="K558" i="7"/>
  <c r="K49" i="7"/>
  <c r="K980" i="7"/>
  <c r="K1131" i="7"/>
  <c r="K1109" i="7"/>
  <c r="K1563" i="7"/>
  <c r="K1461" i="7"/>
  <c r="K1279" i="7"/>
  <c r="K1631" i="7"/>
  <c r="K799" i="7"/>
  <c r="K1493" i="7"/>
  <c r="K916" i="7"/>
  <c r="K188" i="7"/>
  <c r="K1629" i="7"/>
  <c r="K1624" i="7"/>
  <c r="K1590" i="7"/>
  <c r="K1540" i="7"/>
  <c r="K1407" i="7"/>
  <c r="K1405" i="7"/>
  <c r="K1385" i="7"/>
  <c r="K1355" i="7"/>
  <c r="K1287" i="7"/>
  <c r="F727" i="17"/>
  <c r="K416" i="7"/>
  <c r="K923" i="7"/>
  <c r="E366" i="7"/>
  <c r="K258" i="7"/>
  <c r="K126" i="7"/>
  <c r="K67" i="7"/>
  <c r="K36" i="7"/>
  <c r="K24" i="7"/>
  <c r="K22" i="7"/>
  <c r="K1301" i="7"/>
  <c r="K1161" i="7"/>
  <c r="K1194" i="7"/>
  <c r="K168" i="7"/>
  <c r="K917" i="7"/>
  <c r="K950" i="7"/>
  <c r="K987" i="7"/>
  <c r="K696" i="7"/>
  <c r="K630" i="7"/>
  <c r="K646" i="7"/>
  <c r="K666" i="7"/>
  <c r="K496" i="7"/>
  <c r="K511" i="7"/>
  <c r="K652" i="7"/>
  <c r="F671" i="24"/>
  <c r="F673" i="24"/>
  <c r="E762" i="24"/>
  <c r="E761" i="24"/>
  <c r="E759" i="24"/>
  <c r="E843" i="7"/>
  <c r="H588" i="7"/>
  <c r="H1145" i="7"/>
  <c r="H1267" i="7"/>
  <c r="K1564" i="7"/>
  <c r="K1545" i="7"/>
  <c r="K1514" i="7"/>
  <c r="K1503" i="7"/>
  <c r="K1264" i="7"/>
  <c r="K1239" i="7"/>
  <c r="K1229" i="7"/>
  <c r="K1066" i="7"/>
  <c r="K1045" i="7"/>
  <c r="K1019" i="7"/>
  <c r="K1015" i="7"/>
  <c r="K785" i="7"/>
  <c r="K754" i="7"/>
  <c r="K538" i="7"/>
  <c r="K428" i="7"/>
  <c r="K229" i="7"/>
  <c r="K922" i="7"/>
  <c r="K953" i="7"/>
  <c r="K638" i="7"/>
  <c r="K97" i="7"/>
  <c r="E440" i="7"/>
  <c r="E1005" i="7"/>
  <c r="F1459" i="7"/>
  <c r="F1533" i="7"/>
  <c r="I588" i="7"/>
  <c r="K1569" i="7"/>
  <c r="K1557" i="7"/>
  <c r="K1555" i="7"/>
  <c r="K1544" i="7"/>
  <c r="K1528" i="7"/>
  <c r="K1519" i="7"/>
  <c r="K1531" i="7"/>
  <c r="K1475" i="7"/>
  <c r="K1442" i="7"/>
  <c r="K1433" i="7"/>
  <c r="K1420" i="7"/>
  <c r="K1409" i="7"/>
  <c r="K1391" i="7"/>
  <c r="K1368" i="7"/>
  <c r="K1353" i="7"/>
  <c r="K1325" i="7"/>
  <c r="K1332" i="7"/>
  <c r="K1266" i="7"/>
  <c r="K1217" i="7"/>
  <c r="K735" i="7"/>
  <c r="K753" i="7"/>
  <c r="K620" i="7"/>
  <c r="K587" i="7"/>
  <c r="K548" i="7"/>
  <c r="K480" i="7"/>
  <c r="K459" i="7"/>
  <c r="K395" i="7"/>
  <c r="K344" i="7"/>
  <c r="K336" i="7"/>
  <c r="K290" i="7"/>
  <c r="K253" i="7"/>
  <c r="K933" i="7"/>
  <c r="K974" i="7"/>
  <c r="K681" i="7"/>
  <c r="K628" i="7"/>
  <c r="K1138" i="7"/>
  <c r="K640" i="7"/>
  <c r="K770" i="7"/>
  <c r="K812" i="7"/>
  <c r="E82" i="24"/>
  <c r="E445" i="24"/>
  <c r="E768" i="24"/>
  <c r="E1658" i="24"/>
  <c r="G1211" i="7"/>
  <c r="G1205" i="7"/>
  <c r="K162" i="7"/>
  <c r="K612" i="7"/>
  <c r="G598" i="7"/>
  <c r="K1296" i="7"/>
  <c r="K527" i="7"/>
  <c r="K465" i="7"/>
  <c r="K1551" i="7"/>
  <c r="K341" i="7"/>
  <c r="K1604" i="7"/>
  <c r="G1153" i="7"/>
  <c r="K1154" i="7"/>
  <c r="K761" i="7"/>
  <c r="K1379" i="7"/>
  <c r="K1310" i="7"/>
  <c r="J1277" i="7"/>
  <c r="J1267" i="7"/>
  <c r="K1267" i="7"/>
  <c r="K256" i="7"/>
  <c r="K360" i="7"/>
  <c r="K1484" i="7"/>
  <c r="K1477" i="7"/>
  <c r="K918" i="7"/>
  <c r="K687" i="7"/>
  <c r="K1603" i="7"/>
  <c r="K1476" i="7"/>
  <c r="G850" i="7"/>
  <c r="G843" i="7"/>
  <c r="K535" i="7"/>
  <c r="K1052" i="7"/>
  <c r="K1046" i="7"/>
  <c r="K172" i="7"/>
  <c r="K699" i="7"/>
  <c r="K529" i="7"/>
  <c r="G366" i="7"/>
  <c r="K734" i="7"/>
  <c r="G732" i="7"/>
  <c r="K1371" i="7"/>
  <c r="G1342" i="7"/>
  <c r="G1334" i="7"/>
  <c r="K1026" i="7"/>
  <c r="K745" i="7"/>
  <c r="K1574" i="7"/>
  <c r="K1572" i="7"/>
  <c r="K1556" i="7"/>
  <c r="K1515" i="7"/>
  <c r="K1495" i="7"/>
  <c r="K1448" i="7"/>
  <c r="K1414" i="7"/>
  <c r="K1411" i="7"/>
  <c r="K1399" i="7"/>
  <c r="K1376" i="7"/>
  <c r="K1040" i="7"/>
  <c r="K902" i="7"/>
  <c r="K603" i="7"/>
  <c r="G375" i="7"/>
  <c r="K990" i="7"/>
  <c r="K960" i="7"/>
  <c r="K1584" i="7"/>
  <c r="K42" i="7"/>
  <c r="K1285" i="7"/>
  <c r="K1622" i="7"/>
  <c r="K1609" i="7"/>
  <c r="K1457" i="7"/>
  <c r="K1403" i="7"/>
  <c r="K1278" i="7"/>
  <c r="K1224" i="7"/>
  <c r="K1221" i="7"/>
  <c r="K1024" i="7"/>
  <c r="K891" i="7"/>
  <c r="K866" i="7"/>
  <c r="K531" i="7"/>
  <c r="K408" i="7"/>
  <c r="K278" i="7"/>
  <c r="K494" i="7"/>
  <c r="K710" i="7"/>
  <c r="K565" i="7"/>
  <c r="K583" i="7"/>
  <c r="K540" i="7"/>
  <c r="K409" i="7"/>
  <c r="K37" i="7"/>
  <c r="K586" i="7"/>
  <c r="K546" i="7"/>
  <c r="K435" i="7"/>
  <c r="K397" i="7"/>
  <c r="K423" i="7"/>
  <c r="K127" i="7"/>
  <c r="K218" i="7"/>
  <c r="K739" i="7"/>
  <c r="K504" i="7"/>
  <c r="E5" i="7"/>
  <c r="G588" i="7"/>
  <c r="G1145" i="7"/>
  <c r="G725" i="7"/>
  <c r="I150" i="7"/>
  <c r="I140" i="7"/>
  <c r="F80" i="17"/>
  <c r="E81" i="24"/>
  <c r="F142" i="17"/>
  <c r="E143" i="24"/>
  <c r="E142" i="24"/>
  <c r="E369" i="24"/>
  <c r="F369" i="24"/>
  <c r="F368" i="24"/>
  <c r="F374" i="24"/>
  <c r="E374" i="24"/>
  <c r="F520" i="24"/>
  <c r="E520" i="24"/>
  <c r="E10" i="24"/>
  <c r="F10" i="24"/>
  <c r="E148" i="24"/>
  <c r="F148" i="24"/>
  <c r="E146" i="24"/>
  <c r="F146" i="24"/>
  <c r="F518" i="17"/>
  <c r="E1339" i="24"/>
  <c r="E1336" i="24"/>
  <c r="F1336" i="17"/>
  <c r="F1339" i="24"/>
  <c r="F1336" i="24"/>
  <c r="K631" i="7"/>
  <c r="J598" i="7"/>
  <c r="K964" i="7"/>
  <c r="J1170" i="7"/>
  <c r="K1170" i="7"/>
  <c r="I1153" i="7"/>
  <c r="I1145" i="7"/>
  <c r="K1456" i="7"/>
  <c r="J1398" i="7"/>
  <c r="J1539" i="7"/>
  <c r="K1542" i="7"/>
  <c r="J500" i="7"/>
  <c r="I448" i="7"/>
  <c r="I440" i="7"/>
  <c r="I525" i="7"/>
  <c r="I516" i="7"/>
  <c r="I769" i="7"/>
  <c r="I759" i="7"/>
  <c r="J773" i="7"/>
  <c r="K1349" i="7"/>
  <c r="J1342" i="7"/>
  <c r="K1090" i="7"/>
  <c r="G1080" i="7"/>
  <c r="G1073" i="7"/>
  <c r="G1398" i="7"/>
  <c r="G1392" i="7"/>
  <c r="K1401" i="7"/>
  <c r="K313" i="7"/>
  <c r="G299" i="7"/>
  <c r="G292" i="7"/>
  <c r="K1017" i="7"/>
  <c r="G1012" i="7"/>
  <c r="G1005" i="7"/>
  <c r="K1394" i="7"/>
  <c r="K110" i="7"/>
  <c r="G85" i="7"/>
  <c r="G78" i="7"/>
  <c r="K1543" i="7"/>
  <c r="G1539" i="7"/>
  <c r="G1533" i="7"/>
  <c r="G245" i="7"/>
  <c r="G237" i="7"/>
  <c r="J675" i="7"/>
  <c r="K682" i="7"/>
  <c r="K153" i="7"/>
  <c r="G150" i="7"/>
  <c r="G140" i="7"/>
  <c r="K1620" i="7"/>
  <c r="K1611" i="7"/>
  <c r="K1567" i="7"/>
  <c r="K1468" i="7"/>
  <c r="J1466" i="7"/>
  <c r="K1466" i="7"/>
  <c r="K870" i="7"/>
  <c r="J725" i="7"/>
  <c r="K725" i="7"/>
  <c r="K732" i="7"/>
  <c r="K299" i="7"/>
  <c r="J292" i="7"/>
  <c r="K292" i="7"/>
  <c r="G675" i="7"/>
  <c r="G668" i="7"/>
  <c r="K246" i="7"/>
  <c r="K33" i="7"/>
  <c r="K1159" i="7"/>
  <c r="K776" i="7"/>
  <c r="G769" i="7"/>
  <c r="G759" i="7"/>
  <c r="K759" i="7"/>
  <c r="K1479" i="7"/>
  <c r="G1466" i="7"/>
  <c r="G1459" i="7"/>
  <c r="K1085" i="7"/>
  <c r="J1080" i="7"/>
  <c r="K1080" i="7"/>
  <c r="K1041" i="7"/>
  <c r="K544" i="7"/>
  <c r="G448" i="7"/>
  <c r="G440" i="7"/>
  <c r="G1277" i="7"/>
  <c r="G1267" i="7"/>
  <c r="K1290" i="7"/>
  <c r="K1245" i="7"/>
  <c r="J1211" i="7"/>
  <c r="K1257" i="7"/>
  <c r="K1213" i="7"/>
  <c r="K1035" i="7"/>
  <c r="K898" i="7"/>
  <c r="J850" i="7"/>
  <c r="I1205" i="7"/>
  <c r="K1043" i="7"/>
  <c r="K876" i="7"/>
  <c r="E1461" i="24"/>
  <c r="G14" i="7"/>
  <c r="G5" i="7"/>
  <c r="K15" i="7"/>
  <c r="K1373" i="7"/>
  <c r="K1251" i="7"/>
  <c r="K578" i="7"/>
  <c r="K403" i="7"/>
  <c r="K307" i="7"/>
  <c r="K248" i="7"/>
  <c r="K111" i="7"/>
  <c r="K1165" i="7"/>
  <c r="K189" i="7"/>
  <c r="K1140" i="7"/>
  <c r="K348" i="7"/>
  <c r="I1342" i="7"/>
  <c r="I1334" i="7"/>
  <c r="I1398" i="7"/>
  <c r="I1392" i="7"/>
  <c r="I1466" i="7"/>
  <c r="I1459" i="7"/>
  <c r="K95" i="7"/>
  <c r="K993" i="7"/>
  <c r="K983" i="7"/>
  <c r="F516" i="7"/>
  <c r="F1659" i="7"/>
  <c r="F1663" i="7"/>
  <c r="K291" i="7"/>
  <c r="I375" i="7"/>
  <c r="I366" i="7"/>
  <c r="K431" i="7"/>
  <c r="K322" i="7"/>
  <c r="K686" i="7"/>
  <c r="K643" i="7"/>
  <c r="K513" i="7"/>
  <c r="I245" i="7"/>
  <c r="I237" i="7"/>
  <c r="I299" i="7"/>
  <c r="I292" i="7"/>
  <c r="I1539" i="7"/>
  <c r="I1533" i="7"/>
  <c r="H1659" i="7"/>
  <c r="H1663" i="7"/>
  <c r="F296" i="24"/>
  <c r="F1395" i="24"/>
  <c r="F1394" i="24"/>
  <c r="E144" i="24"/>
  <c r="E12" i="24"/>
  <c r="F81" i="24"/>
  <c r="E243" i="24"/>
  <c r="E239" i="24"/>
  <c r="E237" i="24"/>
  <c r="F446" i="24"/>
  <c r="E244" i="24"/>
  <c r="F244" i="24"/>
  <c r="E373" i="24"/>
  <c r="F373" i="24"/>
  <c r="E672" i="24"/>
  <c r="F672" i="24"/>
  <c r="F670" i="24"/>
  <c r="E670" i="17"/>
  <c r="F674" i="24"/>
  <c r="E674" i="24"/>
  <c r="E670" i="24"/>
  <c r="E668" i="24"/>
  <c r="E729" i="24"/>
  <c r="E727" i="17"/>
  <c r="F729" i="24"/>
  <c r="E731" i="24"/>
  <c r="F731" i="24"/>
  <c r="E763" i="24"/>
  <c r="F763" i="24"/>
  <c r="E761" i="17"/>
  <c r="E1079" i="24"/>
  <c r="F1079" i="24"/>
  <c r="E1075" i="17"/>
  <c r="E1147" i="17"/>
  <c r="F1149" i="24"/>
  <c r="E1149" i="24"/>
  <c r="E1151" i="24"/>
  <c r="F1151" i="24"/>
  <c r="F1147" i="24"/>
  <c r="E1207" i="17"/>
  <c r="F1208" i="24"/>
  <c r="E1208" i="24"/>
  <c r="F1210" i="24"/>
  <c r="F1207" i="24"/>
  <c r="F1205" i="24"/>
  <c r="E1210" i="24"/>
  <c r="E1269" i="17"/>
  <c r="E1271" i="24"/>
  <c r="F1271" i="24"/>
  <c r="F1269" i="24"/>
  <c r="F1267" i="24"/>
  <c r="E1273" i="24"/>
  <c r="F1273" i="24"/>
  <c r="E1538" i="24"/>
  <c r="E1535" i="24"/>
  <c r="F1538" i="24"/>
  <c r="F1535" i="17"/>
  <c r="E1597" i="24"/>
  <c r="F1597" i="24"/>
  <c r="E1599" i="24"/>
  <c r="F1599" i="24"/>
  <c r="F371" i="24"/>
  <c r="E371" i="24"/>
  <c r="E368" i="17"/>
  <c r="F519" i="24"/>
  <c r="E519" i="24"/>
  <c r="E518" i="24"/>
  <c r="E518" i="17"/>
  <c r="F595" i="24"/>
  <c r="E595" i="24"/>
  <c r="E590" i="17"/>
  <c r="E593" i="24"/>
  <c r="F593" i="24"/>
  <c r="E905" i="17"/>
  <c r="F906" i="24"/>
  <c r="E906" i="24"/>
  <c r="F1341" i="24"/>
  <c r="E1341" i="24"/>
  <c r="E1336" i="17"/>
  <c r="F1595" i="24"/>
  <c r="E1595" i="24"/>
  <c r="E1594" i="24"/>
  <c r="F1594" i="17"/>
  <c r="E1075" i="24"/>
  <c r="F727" i="24"/>
  <c r="F242" i="24"/>
  <c r="F239" i="17"/>
  <c r="F521" i="24"/>
  <c r="F518" i="24"/>
  <c r="E521" i="24"/>
  <c r="E597" i="24"/>
  <c r="F590" i="17"/>
  <c r="F597" i="24"/>
  <c r="F912" i="24"/>
  <c r="E912" i="24"/>
  <c r="F1007" i="17"/>
  <c r="E1009" i="24"/>
  <c r="F1011" i="24"/>
  <c r="E1011" i="24"/>
  <c r="F1075" i="17"/>
  <c r="F1077" i="24"/>
  <c r="F1075" i="24"/>
  <c r="F1073" i="24"/>
  <c r="E1397" i="24"/>
  <c r="F1397" i="24"/>
  <c r="F1394" i="17"/>
  <c r="F1461" i="17"/>
  <c r="F1463" i="24"/>
  <c r="F1461" i="24"/>
  <c r="E372" i="24"/>
  <c r="F368" i="17"/>
  <c r="F372" i="24"/>
  <c r="E7" i="17"/>
  <c r="E8" i="24"/>
  <c r="E7" i="24"/>
  <c r="F8" i="24"/>
  <c r="F9" i="24"/>
  <c r="F7" i="17"/>
  <c r="E83" i="24"/>
  <c r="E80" i="24"/>
  <c r="F83" i="24"/>
  <c r="F80" i="24"/>
  <c r="F143" i="24"/>
  <c r="E142" i="17"/>
  <c r="E239" i="17"/>
  <c r="F241" i="24"/>
  <c r="F239" i="24"/>
  <c r="F237" i="24"/>
  <c r="E241" i="24"/>
  <c r="E294" i="17"/>
  <c r="E297" i="24"/>
  <c r="F297" i="24"/>
  <c r="E444" i="24"/>
  <c r="E442" i="24"/>
  <c r="E442" i="17"/>
  <c r="F444" i="24"/>
  <c r="F442" i="24"/>
  <c r="F767" i="24"/>
  <c r="F761" i="17"/>
  <c r="E767" i="24"/>
  <c r="F846" i="24"/>
  <c r="F845" i="24"/>
  <c r="F843" i="24"/>
  <c r="F845" i="17"/>
  <c r="F848" i="24"/>
  <c r="E848" i="24"/>
  <c r="E845" i="24"/>
  <c r="E907" i="24"/>
  <c r="F907" i="24"/>
  <c r="F1396" i="24"/>
  <c r="E1396" i="24"/>
  <c r="E1394" i="24"/>
  <c r="F145" i="24"/>
  <c r="F142" i="24"/>
  <c r="F140" i="24"/>
  <c r="E145" i="24"/>
  <c r="F294" i="17"/>
  <c r="F295" i="24"/>
  <c r="E295" i="24"/>
  <c r="E766" i="24"/>
  <c r="F766" i="24"/>
  <c r="F1274" i="24"/>
  <c r="E1274" i="24"/>
  <c r="E1147" i="24"/>
  <c r="E1145" i="24"/>
  <c r="E294" i="24"/>
  <c r="K850" i="7"/>
  <c r="J843" i="7"/>
  <c r="K843" i="7"/>
  <c r="K598" i="7"/>
  <c r="J588" i="7"/>
  <c r="K588" i="7"/>
  <c r="J668" i="7"/>
  <c r="K668" i="7"/>
  <c r="K675" i="7"/>
  <c r="K1539" i="7"/>
  <c r="J1533" i="7"/>
  <c r="K1533" i="7"/>
  <c r="F294" i="24"/>
  <c r="G1659" i="7"/>
  <c r="J1205" i="7"/>
  <c r="K1205" i="7"/>
  <c r="K1211" i="7"/>
  <c r="E1007" i="24"/>
  <c r="J1334" i="7"/>
  <c r="K1334" i="7"/>
  <c r="K1342" i="7"/>
  <c r="K773" i="7"/>
  <c r="K500" i="7"/>
  <c r="J448" i="7"/>
  <c r="J1392" i="7"/>
  <c r="K1392" i="7"/>
  <c r="K1398" i="7"/>
  <c r="E590" i="24"/>
  <c r="F1594" i="24"/>
  <c r="E1207" i="24"/>
  <c r="F7" i="24"/>
  <c r="J440" i="7"/>
  <c r="K440" i="7"/>
  <c r="K448" i="7"/>
  <c r="K391" i="7"/>
  <c r="J1073" i="7"/>
  <c r="K1073" i="7"/>
  <c r="J14" i="7"/>
  <c r="J1600" i="7"/>
  <c r="K1600" i="7"/>
  <c r="J1459" i="7"/>
  <c r="K1459" i="7"/>
  <c r="J1153" i="7"/>
  <c r="K1153" i="7"/>
  <c r="K273" i="7"/>
  <c r="J1012" i="7"/>
  <c r="J1005" i="7"/>
  <c r="K1005" i="7"/>
  <c r="J769" i="7"/>
  <c r="J1592" i="7"/>
  <c r="K1592" i="7"/>
  <c r="J913" i="7"/>
  <c r="J525" i="7"/>
  <c r="J516" i="7"/>
  <c r="J375" i="7"/>
  <c r="J366" i="7"/>
  <c r="K366" i="7"/>
  <c r="K389" i="7"/>
  <c r="I7" i="1"/>
  <c r="H29" i="1"/>
  <c r="I29" i="1"/>
  <c r="K165" i="7"/>
  <c r="J85" i="7"/>
  <c r="J5" i="7"/>
  <c r="K5" i="7"/>
  <c r="K14" i="7"/>
  <c r="K1012" i="7"/>
  <c r="K769" i="7"/>
  <c r="J759" i="7"/>
  <c r="K913" i="7"/>
  <c r="J903" i="7"/>
  <c r="K903" i="7"/>
  <c r="K375" i="7"/>
  <c r="K85" i="7"/>
  <c r="J78" i="7"/>
  <c r="K78" i="7"/>
  <c r="K516" i="7"/>
  <c r="K525" i="7"/>
  <c r="G1663" i="7"/>
  <c r="J245" i="7"/>
  <c r="K245" i="7"/>
  <c r="J237" i="7"/>
  <c r="K237" i="7"/>
  <c r="K1277" i="7"/>
  <c r="J1145" i="7"/>
  <c r="K1145" i="7"/>
  <c r="J12" i="1"/>
  <c r="J20" i="1"/>
  <c r="K20" i="1"/>
  <c r="J10" i="1"/>
  <c r="J23" i="1"/>
  <c r="K23" i="1"/>
  <c r="J6" i="1"/>
  <c r="L12" i="1"/>
  <c r="K12" i="1"/>
  <c r="K6" i="1"/>
  <c r="L6" i="1"/>
  <c r="J8" i="1"/>
  <c r="J11" i="1"/>
  <c r="J5" i="1"/>
  <c r="J15" i="1"/>
  <c r="J14" i="1"/>
  <c r="J25" i="1"/>
  <c r="L23" i="1"/>
  <c r="L20" i="1"/>
  <c r="J21" i="1"/>
  <c r="J29" i="1"/>
  <c r="J13" i="1"/>
  <c r="J18" i="1"/>
  <c r="J16" i="1"/>
  <c r="J24" i="1"/>
  <c r="J4" i="1"/>
  <c r="J22" i="1"/>
  <c r="J17" i="1"/>
  <c r="J9" i="1"/>
  <c r="J27" i="1"/>
  <c r="J7" i="1"/>
  <c r="J26" i="1"/>
  <c r="J19" i="1"/>
  <c r="J150" i="7"/>
  <c r="K150" i="7"/>
  <c r="H29" i="2"/>
  <c r="I29" i="2"/>
  <c r="I1659" i="7"/>
  <c r="I1663" i="7"/>
  <c r="J140" i="7"/>
  <c r="L10" i="1"/>
  <c r="K10" i="1"/>
  <c r="K7" i="1"/>
  <c r="L7" i="1"/>
  <c r="L22" i="1"/>
  <c r="K22" i="1"/>
  <c r="L18" i="1"/>
  <c r="K18" i="1"/>
  <c r="L27" i="1"/>
  <c r="K27" i="1"/>
  <c r="K5" i="1"/>
  <c r="L5" i="1"/>
  <c r="K19" i="1"/>
  <c r="L19" i="1"/>
  <c r="K15" i="1"/>
  <c r="L15" i="1"/>
  <c r="K4" i="1"/>
  <c r="L4" i="1"/>
  <c r="L13" i="1"/>
  <c r="K13" i="1"/>
  <c r="L9" i="1"/>
  <c r="K9" i="1"/>
  <c r="L24" i="1"/>
  <c r="K24" i="1"/>
  <c r="K25" i="1"/>
  <c r="L25" i="1"/>
  <c r="L11" i="1"/>
  <c r="K11" i="1"/>
  <c r="K26" i="1"/>
  <c r="L26" i="1"/>
  <c r="K17" i="1"/>
  <c r="L17" i="1"/>
  <c r="K16" i="1"/>
  <c r="L16" i="1"/>
  <c r="K21" i="1"/>
  <c r="L21" i="1"/>
  <c r="L14" i="1"/>
  <c r="K14" i="1"/>
  <c r="K8" i="1"/>
  <c r="L8" i="1"/>
  <c r="J20" i="2"/>
  <c r="J12" i="2"/>
  <c r="J24" i="2"/>
  <c r="J18" i="2"/>
  <c r="J19" i="2"/>
  <c r="J10" i="2"/>
  <c r="J11" i="2"/>
  <c r="J21" i="2"/>
  <c r="J14" i="2"/>
  <c r="J29" i="2"/>
  <c r="J4" i="2"/>
  <c r="J9" i="2"/>
  <c r="J22" i="2"/>
  <c r="J15" i="2"/>
  <c r="J16" i="2"/>
  <c r="J8" i="2"/>
  <c r="J25" i="2"/>
  <c r="J17" i="2"/>
  <c r="J7" i="2"/>
  <c r="J5" i="2"/>
  <c r="J27" i="2"/>
  <c r="J26" i="2"/>
  <c r="J13" i="2"/>
  <c r="J23" i="2"/>
  <c r="J6" i="2"/>
  <c r="J1659" i="7"/>
  <c r="K140" i="7"/>
  <c r="L29" i="1"/>
  <c r="K29" i="1"/>
  <c r="L23" i="2"/>
  <c r="F1335" i="17"/>
  <c r="K23" i="2"/>
  <c r="E1335" i="17"/>
  <c r="L8" i="2"/>
  <c r="F293" i="17"/>
  <c r="K8" i="2"/>
  <c r="E293" i="17"/>
  <c r="E293" i="24"/>
  <c r="L21" i="2"/>
  <c r="F1206" i="17"/>
  <c r="K21" i="2"/>
  <c r="E1206" i="17"/>
  <c r="K13" i="2"/>
  <c r="E669" i="17"/>
  <c r="L13" i="2"/>
  <c r="F669" i="17"/>
  <c r="F669" i="24"/>
  <c r="K24" i="2"/>
  <c r="E1393" i="17"/>
  <c r="L24" i="2"/>
  <c r="F1393" i="17"/>
  <c r="K5" i="2"/>
  <c r="E79" i="17"/>
  <c r="L5" i="2"/>
  <c r="F79" i="17"/>
  <c r="F79" i="24"/>
  <c r="L9" i="2"/>
  <c r="F367" i="17"/>
  <c r="K9" i="2"/>
  <c r="E367" i="17"/>
  <c r="K18" i="2"/>
  <c r="E1006" i="17"/>
  <c r="L18" i="2"/>
  <c r="F1006" i="17"/>
  <c r="F1006" i="24"/>
  <c r="L7" i="2"/>
  <c r="F238" i="17"/>
  <c r="K7" i="2"/>
  <c r="E238" i="17"/>
  <c r="K16" i="2"/>
  <c r="E844" i="17"/>
  <c r="L16" i="2"/>
  <c r="F844" i="17"/>
  <c r="F844" i="24"/>
  <c r="L4" i="2"/>
  <c r="K4" i="2"/>
  <c r="L11" i="2"/>
  <c r="F517" i="17"/>
  <c r="K11" i="2"/>
  <c r="E517" i="17"/>
  <c r="E517" i="24"/>
  <c r="K26" i="2"/>
  <c r="E1534" i="17"/>
  <c r="L26" i="2"/>
  <c r="F1534" i="17"/>
  <c r="L17" i="2"/>
  <c r="F904" i="17"/>
  <c r="K17" i="2"/>
  <c r="E904" i="17"/>
  <c r="E904" i="24"/>
  <c r="K15" i="2"/>
  <c r="E760" i="17"/>
  <c r="L15" i="2"/>
  <c r="F760" i="17"/>
  <c r="K10" i="2"/>
  <c r="E441" i="17"/>
  <c r="L10" i="2"/>
  <c r="F441" i="17"/>
  <c r="F441" i="24"/>
  <c r="K12" i="2"/>
  <c r="E589" i="17"/>
  <c r="L12" i="2"/>
  <c r="F589" i="17"/>
  <c r="K6" i="2"/>
  <c r="E141" i="17"/>
  <c r="L6" i="2"/>
  <c r="F141" i="17"/>
  <c r="F141" i="24"/>
  <c r="L27" i="2"/>
  <c r="F1593" i="17"/>
  <c r="K27" i="2"/>
  <c r="E1593" i="17"/>
  <c r="K25" i="2"/>
  <c r="E1460" i="17"/>
  <c r="L25" i="2"/>
  <c r="F1460" i="17"/>
  <c r="F1460" i="24"/>
  <c r="K22" i="2"/>
  <c r="E1268" i="17"/>
  <c r="L22" i="2"/>
  <c r="F1268" i="17"/>
  <c r="K14" i="2"/>
  <c r="E726" i="17"/>
  <c r="L14" i="2"/>
  <c r="F726" i="17"/>
  <c r="F726" i="24"/>
  <c r="K19" i="2"/>
  <c r="E1074" i="17"/>
  <c r="L19" i="2"/>
  <c r="F1074" i="17"/>
  <c r="K20" i="2"/>
  <c r="E1146" i="17"/>
  <c r="L20" i="2"/>
  <c r="F1146" i="17"/>
  <c r="F1146" i="24"/>
  <c r="K1659" i="7"/>
  <c r="J1663" i="7"/>
  <c r="F1074" i="24"/>
  <c r="F1268" i="24"/>
  <c r="E1593" i="24"/>
  <c r="F589" i="24"/>
  <c r="F760" i="24"/>
  <c r="F1534" i="24"/>
  <c r="E238" i="24"/>
  <c r="E367" i="24"/>
  <c r="F1393" i="24"/>
  <c r="E1206" i="24"/>
  <c r="E1205" i="24"/>
  <c r="E1335" i="24"/>
  <c r="E1268" i="24"/>
  <c r="F1593" i="24"/>
  <c r="E589" i="24"/>
  <c r="E760" i="24"/>
  <c r="F238" i="24"/>
  <c r="F367" i="24"/>
  <c r="E1393" i="24"/>
  <c r="F1206" i="24"/>
  <c r="F1335" i="24"/>
  <c r="E1146" i="24"/>
  <c r="E1460" i="24"/>
  <c r="E441" i="24"/>
  <c r="F517" i="24"/>
  <c r="E1006" i="24"/>
  <c r="E669" i="24"/>
  <c r="E6" i="17"/>
  <c r="K29" i="2"/>
  <c r="E726" i="24"/>
  <c r="E141" i="24"/>
  <c r="E140" i="24"/>
  <c r="F904" i="24"/>
  <c r="E844" i="24"/>
  <c r="E79" i="24"/>
  <c r="F293" i="24"/>
  <c r="E1074" i="24"/>
  <c r="E1534" i="24"/>
  <c r="F6" i="17"/>
  <c r="L29" i="2"/>
  <c r="L1037" i="7"/>
  <c r="L1642" i="7"/>
  <c r="L994" i="7"/>
  <c r="L600" i="7"/>
  <c r="L427" i="7"/>
  <c r="L1520" i="7"/>
  <c r="L985" i="7"/>
  <c r="L1376" i="7"/>
  <c r="L697" i="7"/>
  <c r="L1247" i="7"/>
  <c r="L1653" i="7"/>
  <c r="L160" i="7"/>
  <c r="L1324" i="7"/>
  <c r="L1262" i="7"/>
  <c r="L207" i="7"/>
  <c r="L684" i="7"/>
  <c r="L1225" i="7"/>
  <c r="L341" i="7"/>
  <c r="L1002" i="7"/>
  <c r="L926" i="7"/>
  <c r="L346" i="7"/>
  <c r="L1619" i="7"/>
  <c r="L1144" i="7"/>
  <c r="L43" i="7"/>
  <c r="L1528" i="7"/>
  <c r="L1023" i="7"/>
  <c r="L617" i="7"/>
  <c r="L1248" i="7"/>
  <c r="L239" i="7"/>
  <c r="L518" i="7"/>
  <c r="L489" i="7"/>
  <c r="L1545" i="7"/>
  <c r="L999" i="7"/>
  <c r="L51" i="7"/>
  <c r="L16" i="7"/>
  <c r="L328" i="7"/>
  <c r="L1167" i="7"/>
  <c r="L1240" i="7"/>
  <c r="L700" i="7"/>
  <c r="L1261" i="7"/>
  <c r="L347" i="7"/>
  <c r="L587" i="7"/>
  <c r="L31" i="7"/>
  <c r="L1294" i="7"/>
  <c r="L71" i="7"/>
  <c r="L1296" i="7"/>
  <c r="L1428" i="7"/>
  <c r="L1503" i="7"/>
  <c r="L1544" i="7"/>
  <c r="L890" i="7"/>
  <c r="L49" i="7"/>
  <c r="L1223" i="7"/>
  <c r="L311" i="7"/>
  <c r="L1232" i="7"/>
  <c r="L1436" i="7"/>
  <c r="L495" i="7"/>
  <c r="L481" i="7"/>
  <c r="L419" i="7"/>
  <c r="L1007" i="7"/>
  <c r="L233" i="7"/>
  <c r="L885" i="7"/>
  <c r="L1356" i="7"/>
  <c r="L1092" i="7"/>
  <c r="L1448" i="7"/>
  <c r="L1550" i="7"/>
  <c r="L264" i="7"/>
  <c r="L1260" i="7"/>
  <c r="L604" i="7"/>
  <c r="L185" i="7"/>
  <c r="L1200" i="7"/>
  <c r="L303" i="7"/>
  <c r="L889" i="7"/>
  <c r="L609" i="7"/>
  <c r="L1071" i="7"/>
  <c r="L305" i="7"/>
  <c r="L462" i="7"/>
  <c r="L1171" i="7"/>
  <c r="L740" i="7"/>
  <c r="L278" i="7"/>
  <c r="L1594" i="7"/>
  <c r="L39" i="7"/>
  <c r="L1442" i="7"/>
  <c r="L294" i="7"/>
  <c r="L965" i="7"/>
  <c r="L237" i="7"/>
  <c r="L563" i="7"/>
  <c r="L692" i="7"/>
  <c r="L1370" i="7"/>
  <c r="L1461" i="7"/>
  <c r="L807" i="7"/>
  <c r="L1344" i="7"/>
  <c r="L90" i="7"/>
  <c r="L689" i="7"/>
  <c r="L325" i="7"/>
  <c r="L1509" i="7"/>
  <c r="L1083" i="7"/>
  <c r="L1444" i="7"/>
  <c r="L1549" i="7"/>
  <c r="L255" i="7"/>
  <c r="L130" i="7"/>
  <c r="L755" i="7"/>
  <c r="L1586" i="7"/>
  <c r="L498" i="7"/>
  <c r="L109" i="7"/>
  <c r="L557" i="7"/>
  <c r="L1438" i="7"/>
  <c r="L288" i="7"/>
  <c r="L670" i="7"/>
  <c r="L1384" i="7"/>
  <c r="L1633" i="7"/>
  <c r="L1186" i="7"/>
  <c r="L1297" i="7"/>
  <c r="L1093" i="7"/>
  <c r="L884" i="7"/>
  <c r="L30" i="7"/>
  <c r="L1125" i="7"/>
  <c r="L568" i="7"/>
  <c r="L590" i="7"/>
  <c r="L1622" i="7"/>
  <c r="L1075" i="7"/>
  <c r="L1577" i="7"/>
  <c r="L203" i="7"/>
  <c r="L157" i="7"/>
  <c r="L135" i="7"/>
  <c r="L58" i="7"/>
  <c r="L204" i="7"/>
  <c r="L23" i="7"/>
  <c r="L745" i="7"/>
  <c r="L338" i="7"/>
  <c r="L1199" i="7"/>
  <c r="L1175" i="7"/>
  <c r="L47" i="7"/>
  <c r="L654" i="7"/>
  <c r="L709" i="7"/>
  <c r="L1406" i="7"/>
  <c r="L1325" i="7"/>
  <c r="L195" i="7"/>
  <c r="L1608" i="7"/>
  <c r="L205" i="7"/>
  <c r="L1373" i="7"/>
  <c r="L219" i="7"/>
  <c r="L1610" i="7"/>
  <c r="L1502" i="7"/>
  <c r="L688" i="7"/>
  <c r="L893" i="7"/>
  <c r="L1381" i="7"/>
  <c r="L1351" i="7"/>
  <c r="L915" i="7"/>
  <c r="L476" i="7"/>
  <c r="L744" i="7"/>
  <c r="L1579" i="7"/>
  <c r="L450" i="7"/>
  <c r="L585" i="7"/>
  <c r="L842" i="7"/>
  <c r="L1552" i="7"/>
  <c r="L1187" i="7"/>
  <c r="L812" i="7"/>
  <c r="L659" i="7"/>
  <c r="L1250" i="7"/>
  <c r="L1588" i="7"/>
  <c r="L406" i="7"/>
  <c r="L649" i="7"/>
  <c r="L385" i="7"/>
  <c r="L936" i="7"/>
  <c r="L86" i="7"/>
  <c r="L357" i="7"/>
  <c r="L1227" i="7"/>
  <c r="L996" i="7"/>
  <c r="L830" i="7"/>
  <c r="L34" i="7"/>
  <c r="L648" i="7"/>
  <c r="L528" i="7"/>
  <c r="L169" i="7"/>
  <c r="L1317" i="7"/>
  <c r="L1496" i="7"/>
  <c r="L471" i="7"/>
  <c r="L344" i="7"/>
  <c r="L1220" i="7"/>
  <c r="L871" i="7"/>
  <c r="L1637" i="7"/>
  <c r="L1161" i="7"/>
  <c r="L465" i="7"/>
  <c r="L1512" i="7"/>
  <c r="L1561" i="7"/>
  <c r="L384" i="7"/>
  <c r="L267" i="7"/>
  <c r="L868" i="7"/>
  <c r="L1453" i="7"/>
  <c r="L803" i="7"/>
  <c r="L1235" i="7"/>
  <c r="L708" i="7"/>
  <c r="L719" i="7"/>
  <c r="L1192" i="7"/>
  <c r="L1511" i="7"/>
  <c r="L183" i="7"/>
  <c r="L29" i="7"/>
  <c r="L178" i="7"/>
  <c r="L900" i="7"/>
  <c r="L834" i="7"/>
  <c r="L1172" i="7"/>
  <c r="L645" i="7"/>
  <c r="L1369" i="7"/>
  <c r="L572" i="7"/>
  <c r="L1048" i="7"/>
  <c r="L558" i="7"/>
  <c r="L1409" i="7"/>
  <c r="L746" i="7"/>
  <c r="L625" i="7"/>
  <c r="L863" i="7"/>
  <c r="L353" i="7"/>
  <c r="L400" i="7"/>
  <c r="L366" i="7"/>
  <c r="L1237" i="7"/>
  <c r="L962" i="7"/>
  <c r="L742" i="7"/>
  <c r="L1423" i="7"/>
  <c r="L937" i="7"/>
  <c r="L1569" i="7"/>
  <c r="L820" i="7"/>
  <c r="L1264" i="7"/>
  <c r="L1523" i="7"/>
  <c r="L69" i="7"/>
  <c r="L646" i="7"/>
  <c r="L919" i="7"/>
  <c r="L1091" i="7"/>
  <c r="L551" i="7"/>
  <c r="L1265" i="7"/>
  <c r="L1655" i="7"/>
  <c r="L425" i="7"/>
  <c r="L1310" i="7"/>
  <c r="L227" i="7"/>
  <c r="L954" i="7"/>
  <c r="L887" i="7"/>
  <c r="L690" i="7"/>
  <c r="L941" i="7"/>
  <c r="L1189" i="7"/>
  <c r="L1129" i="7"/>
  <c r="L1371" i="7"/>
  <c r="L1488" i="7"/>
  <c r="L26" i="7"/>
  <c r="L1478" i="7"/>
  <c r="L1518" i="7"/>
  <c r="L163" i="7"/>
  <c r="L752" i="7"/>
  <c r="L1088" i="7"/>
  <c r="L630" i="7"/>
  <c r="L64" i="7"/>
  <c r="L104" i="7"/>
  <c r="L1366" i="7"/>
  <c r="L1320" i="7"/>
  <c r="L1609" i="7"/>
  <c r="L929" i="7"/>
  <c r="L647" i="7"/>
  <c r="L426" i="7"/>
  <c r="L1224" i="7"/>
  <c r="L840" i="7"/>
  <c r="L121" i="7"/>
  <c r="L38" i="7"/>
  <c r="L1207" i="7"/>
  <c r="L368" i="7"/>
  <c r="L1624" i="7"/>
  <c r="L483" i="7"/>
  <c r="L835" i="7"/>
  <c r="L1386" i="7"/>
  <c r="L249" i="7"/>
  <c r="L1430" i="7"/>
  <c r="L478" i="7"/>
  <c r="L1053" i="7"/>
  <c r="L580" i="7"/>
  <c r="L621" i="7"/>
  <c r="L359" i="7"/>
  <c r="L1510" i="7"/>
  <c r="L543" i="7"/>
  <c r="L334" i="7"/>
  <c r="L428" i="7"/>
  <c r="L984" i="7"/>
  <c r="L618" i="7"/>
  <c r="L899" i="7"/>
  <c r="L1446" i="7"/>
  <c r="L1101" i="7"/>
  <c r="L1578" i="7"/>
  <c r="L380" i="7"/>
  <c r="L959" i="7"/>
  <c r="L464" i="7"/>
  <c r="L451" i="7"/>
  <c r="L456" i="7"/>
  <c r="L865" i="7"/>
  <c r="L1042" i="7"/>
  <c r="L1114" i="7"/>
  <c r="L1295" i="7"/>
  <c r="L138" i="7"/>
  <c r="L718" i="7"/>
  <c r="L614" i="7"/>
  <c r="L1289" i="7"/>
  <c r="L683" i="7"/>
  <c r="L107" i="7"/>
  <c r="L1416" i="7"/>
  <c r="L704" i="7"/>
  <c r="L877" i="7"/>
  <c r="L535" i="7"/>
  <c r="L1581" i="7"/>
  <c r="L343" i="7"/>
  <c r="L53" i="7"/>
  <c r="L1649" i="7"/>
  <c r="L757" i="7"/>
  <c r="L1631" i="7"/>
  <c r="K1663" i="7"/>
  <c r="L1358" i="7"/>
  <c r="L1214" i="7"/>
  <c r="L1645" i="7"/>
  <c r="L221" i="7"/>
  <c r="L930" i="7"/>
  <c r="L895" i="7"/>
  <c r="L862" i="7"/>
  <c r="L1230" i="7"/>
  <c r="L1558" i="7"/>
  <c r="L102" i="7"/>
  <c r="L660" i="7"/>
  <c r="L350" i="7"/>
  <c r="L940" i="7"/>
  <c r="L60" i="7"/>
  <c r="L1627" i="7"/>
  <c r="L351" i="7"/>
  <c r="L166" i="7"/>
  <c r="L1184" i="7"/>
  <c r="L404" i="7"/>
  <c r="L1421" i="7"/>
  <c r="L1567" i="7"/>
  <c r="L991" i="7"/>
  <c r="L811" i="7"/>
  <c r="L546" i="7"/>
  <c r="L1094" i="7"/>
  <c r="L960" i="7"/>
  <c r="L1568" i="7"/>
  <c r="L199" i="7"/>
  <c r="L633" i="7"/>
  <c r="L45" i="7"/>
  <c r="L1656" i="7"/>
  <c r="L1059" i="7"/>
  <c r="L473" i="7"/>
  <c r="L1107" i="7"/>
  <c r="L931" i="7"/>
  <c r="L314" i="7"/>
  <c r="L139" i="7"/>
  <c r="L1090" i="7"/>
  <c r="L1625" i="7"/>
  <c r="L1137" i="7"/>
  <c r="L725" i="7"/>
  <c r="L955" i="7"/>
  <c r="L1183" i="7"/>
  <c r="L635" i="7"/>
  <c r="L956" i="7"/>
  <c r="L952" i="7"/>
  <c r="L735" i="7"/>
  <c r="L1429" i="7"/>
  <c r="L573" i="7"/>
  <c r="L1212" i="7"/>
  <c r="L230" i="7"/>
  <c r="L720" i="7"/>
  <c r="L1435" i="7"/>
  <c r="L457" i="7"/>
  <c r="L438" i="7"/>
  <c r="L1383" i="7"/>
  <c r="L1585" i="7"/>
  <c r="L403" i="7"/>
  <c r="L422" i="7"/>
  <c r="L983" i="7"/>
  <c r="L100" i="7"/>
  <c r="L1374" i="7"/>
  <c r="L1110" i="7"/>
  <c r="L378" i="7"/>
  <c r="L322" i="7"/>
  <c r="L1159" i="7"/>
  <c r="L698" i="7"/>
  <c r="L925" i="7"/>
  <c r="L882" i="7"/>
  <c r="L258" i="7"/>
  <c r="L115" i="7"/>
  <c r="L1236" i="7"/>
  <c r="L1413" i="7"/>
  <c r="L54" i="7"/>
  <c r="L611" i="7"/>
  <c r="L632" i="7"/>
  <c r="L944" i="7"/>
  <c r="L933" i="7"/>
  <c r="L1030" i="7"/>
  <c r="L88" i="7"/>
  <c r="L1258" i="7"/>
  <c r="L1505" i="7"/>
  <c r="L1391" i="7"/>
  <c r="L1554" i="7"/>
  <c r="L1471" i="7"/>
  <c r="L796" i="7"/>
  <c r="L44" i="7"/>
  <c r="L1559" i="7"/>
  <c r="L995" i="7"/>
  <c r="L129" i="7"/>
  <c r="L1300" i="7"/>
  <c r="L716" i="7"/>
  <c r="L274" i="7"/>
  <c r="L1082" i="7"/>
  <c r="L832" i="7"/>
  <c r="L935" i="7"/>
  <c r="L1163" i="7"/>
  <c r="L1601" i="7"/>
  <c r="L1086" i="7"/>
  <c r="L1422" i="7"/>
  <c r="L136" i="7"/>
  <c r="L822" i="7"/>
  <c r="L364" i="7"/>
  <c r="L133" i="7"/>
  <c r="L675" i="7"/>
  <c r="L712" i="7"/>
  <c r="L982" i="7"/>
  <c r="L66" i="7"/>
  <c r="L1417" i="7"/>
  <c r="L968" i="7"/>
  <c r="L639" i="7"/>
  <c r="L575" i="7"/>
  <c r="L194" i="7"/>
  <c r="L98" i="7"/>
  <c r="L94" i="7"/>
  <c r="L1402" i="7"/>
  <c r="L280" i="7"/>
  <c r="L1582" i="7"/>
  <c r="L220" i="7"/>
  <c r="L89" i="7"/>
  <c r="L677" i="7"/>
  <c r="L1378" i="7"/>
  <c r="L1135" i="7"/>
  <c r="L1574" i="7"/>
  <c r="L75" i="7"/>
  <c r="L967" i="7"/>
  <c r="L1266" i="7"/>
  <c r="L750" i="7"/>
  <c r="L1168" i="7"/>
  <c r="L1499" i="7"/>
  <c r="L741" i="7"/>
  <c r="L857" i="7"/>
  <c r="L1472" i="7"/>
  <c r="L532" i="7"/>
  <c r="L319" i="7"/>
  <c r="L1228" i="7"/>
  <c r="L1194" i="7"/>
  <c r="L942" i="7"/>
  <c r="L1388" i="7"/>
  <c r="L747" i="7"/>
  <c r="L161" i="7"/>
  <c r="L943" i="7"/>
  <c r="L234" i="7"/>
  <c r="L442" i="7"/>
  <c r="L824" i="7"/>
  <c r="L1316" i="7"/>
  <c r="L41" i="7"/>
  <c r="L420" i="7"/>
  <c r="L1242" i="7"/>
  <c r="L1380" i="7"/>
  <c r="L623" i="7"/>
  <c r="L1162" i="7"/>
  <c r="L886" i="7"/>
  <c r="L1280" i="7"/>
  <c r="L1532" i="7"/>
  <c r="L837" i="7"/>
  <c r="L320" i="7"/>
  <c r="L493" i="7"/>
  <c r="L1153" i="7"/>
  <c r="L850" i="7"/>
  <c r="L1057" i="7"/>
  <c r="L819" i="7"/>
  <c r="L1432" i="7"/>
  <c r="L477" i="7"/>
  <c r="L1607" i="7"/>
  <c r="L1389" i="7"/>
  <c r="L1405" i="7"/>
  <c r="L429" i="7"/>
  <c r="L701" i="7"/>
  <c r="L1102" i="7"/>
  <c r="L948" i="7"/>
  <c r="L1016" i="7"/>
  <c r="L620" i="7"/>
  <c r="L1040" i="7"/>
  <c r="L304" i="7"/>
  <c r="L1283" i="7"/>
  <c r="L388" i="7"/>
  <c r="L36" i="7"/>
  <c r="L1379" i="7"/>
  <c r="L1439" i="7"/>
  <c r="L1419" i="7"/>
  <c r="L974" i="7"/>
  <c r="L142" i="7"/>
  <c r="L1364" i="7"/>
  <c r="L961" i="7"/>
  <c r="L431" i="7"/>
  <c r="L1070" i="7"/>
  <c r="L702" i="7"/>
  <c r="L330" i="7"/>
  <c r="L946" i="7"/>
  <c r="L226" i="7"/>
  <c r="L1314" i="7"/>
  <c r="L458" i="7"/>
  <c r="L1191" i="7"/>
  <c r="L1605" i="7"/>
  <c r="L20" i="7"/>
  <c r="L413" i="7"/>
  <c r="L27" i="7"/>
  <c r="L57" i="7"/>
  <c r="L1303" i="7"/>
  <c r="L699" i="7"/>
  <c r="L619" i="7"/>
  <c r="L1219" i="7"/>
  <c r="L103" i="7"/>
  <c r="L170" i="7"/>
  <c r="L577" i="7"/>
  <c r="L706" i="7"/>
  <c r="L62" i="7"/>
  <c r="L201" i="7"/>
  <c r="L1548" i="7"/>
  <c r="L421" i="7"/>
  <c r="L1321" i="7"/>
  <c r="L971" i="7"/>
  <c r="L1527" i="7"/>
  <c r="L778" i="7"/>
  <c r="L679" i="7"/>
  <c r="L408" i="7"/>
  <c r="L97" i="7"/>
  <c r="L509" i="7"/>
  <c r="L336" i="7"/>
  <c r="L433" i="7"/>
  <c r="L486" i="7"/>
  <c r="L317" i="7"/>
  <c r="L534" i="7"/>
  <c r="L1245" i="7"/>
  <c r="L922" i="7"/>
  <c r="L290" i="7"/>
  <c r="L1647" i="7"/>
  <c r="L1602" i="7"/>
  <c r="L1497" i="7"/>
  <c r="L337" i="7"/>
  <c r="L634" i="7"/>
  <c r="L1652" i="7"/>
  <c r="L331" i="7"/>
  <c r="L565" i="7"/>
  <c r="L1263" i="7"/>
  <c r="L1575" i="7"/>
  <c r="L393" i="7"/>
  <c r="L1626" i="7"/>
  <c r="L252" i="7"/>
  <c r="L898" i="7"/>
  <c r="L1246" i="7"/>
  <c r="L1253" i="7"/>
  <c r="L87" i="7"/>
  <c r="L1111" i="7"/>
  <c r="L1392" i="7"/>
  <c r="L1454" i="7"/>
  <c r="L131" i="7"/>
  <c r="L1255" i="7"/>
  <c r="L382" i="7"/>
  <c r="L525" i="7"/>
  <c r="L722" i="7"/>
  <c r="L787" i="7"/>
  <c r="L815" i="7"/>
  <c r="L1213" i="7"/>
  <c r="L110" i="7"/>
  <c r="L713" i="7"/>
  <c r="L154" i="7"/>
  <c r="L1143" i="7"/>
  <c r="L756" i="7"/>
  <c r="L1455" i="7"/>
  <c r="L809" i="7"/>
  <c r="L501" i="7"/>
  <c r="L1357" i="7"/>
  <c r="L891" i="7"/>
  <c r="L560" i="7"/>
  <c r="L916" i="7"/>
  <c r="L268" i="7"/>
  <c r="L1003" i="7"/>
  <c r="L1368" i="7"/>
  <c r="L928" i="7"/>
  <c r="L869" i="7"/>
  <c r="L391" i="7"/>
  <c r="L656" i="7"/>
  <c r="L1441" i="7"/>
  <c r="L211" i="7"/>
  <c r="L484" i="7"/>
  <c r="L15" i="7"/>
  <c r="L1329" i="7"/>
  <c r="L1564" i="7"/>
  <c r="L853" i="7"/>
  <c r="L638" i="7"/>
  <c r="L806" i="7"/>
  <c r="L454" i="7"/>
  <c r="L1308" i="7"/>
  <c r="L202" i="7"/>
  <c r="L779" i="7"/>
  <c r="L1345" i="7"/>
  <c r="L1404" i="7"/>
  <c r="L1051" i="7"/>
  <c r="L1334" i="7"/>
  <c r="L5" i="7"/>
  <c r="L1540" i="7"/>
  <c r="L1425" i="7"/>
  <c r="L878" i="7"/>
  <c r="L33" i="7"/>
  <c r="L1098" i="7"/>
  <c r="L1650" i="7"/>
  <c r="L694" i="7"/>
  <c r="L1531" i="7"/>
  <c r="L1354" i="7"/>
  <c r="L1287" i="7"/>
  <c r="L507" i="7"/>
  <c r="L106" i="7"/>
  <c r="L855" i="7"/>
  <c r="L663" i="7"/>
  <c r="L1217" i="7"/>
  <c r="L1185" i="7"/>
  <c r="L386" i="7"/>
  <c r="L977" i="7"/>
  <c r="L302" i="7"/>
  <c r="L1475" i="7"/>
  <c r="L1252" i="7"/>
  <c r="L905" i="7"/>
  <c r="L1620" i="7"/>
  <c r="L1572" i="7"/>
  <c r="L603" i="7"/>
  <c r="L554" i="7"/>
  <c r="L693" i="7"/>
  <c r="L831" i="7"/>
  <c r="L571" i="7"/>
  <c r="L1628" i="7"/>
  <c r="L774" i="7"/>
  <c r="L627" i="7"/>
  <c r="L1591" i="7"/>
  <c r="L1318" i="7"/>
  <c r="L1181" i="7"/>
  <c r="L530" i="7"/>
  <c r="L1513" i="7"/>
  <c r="L642" i="7"/>
  <c r="L1473" i="7"/>
  <c r="L1047" i="7"/>
  <c r="L531" i="7"/>
  <c r="L1348" i="7"/>
  <c r="L1044" i="7"/>
  <c r="L1501" i="7"/>
  <c r="L480" i="7"/>
  <c r="L972" i="7"/>
  <c r="L1281" i="7"/>
  <c r="L76" i="7"/>
  <c r="L1638" i="7"/>
  <c r="L349" i="7"/>
  <c r="L791" i="7"/>
  <c r="L1412" i="7"/>
  <c r="L279" i="7"/>
  <c r="L685" i="7"/>
  <c r="L1046" i="7"/>
  <c r="L399" i="7"/>
  <c r="L721" i="7"/>
  <c r="L1121" i="7"/>
  <c r="L61" i="7"/>
  <c r="L1015" i="7"/>
  <c r="L578" i="7"/>
  <c r="L1342" i="7"/>
  <c r="L828" i="7"/>
  <c r="L851" i="7"/>
  <c r="L1331" i="7"/>
  <c r="L259" i="7"/>
  <c r="L112" i="7"/>
  <c r="L705" i="7"/>
  <c r="L1178" i="7"/>
  <c r="L80" i="7"/>
  <c r="L182" i="7"/>
  <c r="L200" i="7"/>
  <c r="L282" i="7"/>
  <c r="L805" i="7"/>
  <c r="L1359" i="7"/>
  <c r="L184" i="7"/>
  <c r="L652" i="7"/>
  <c r="L1640" i="7"/>
  <c r="L224" i="7"/>
  <c r="L313" i="7"/>
  <c r="L1027" i="7"/>
  <c r="L1516" i="7"/>
  <c r="L754" i="7"/>
  <c r="L510" i="7"/>
  <c r="L1311" i="7"/>
  <c r="L283" i="7"/>
  <c r="L1547" i="7"/>
  <c r="L1170" i="7"/>
  <c r="L643" i="7"/>
  <c r="L1636" i="7"/>
  <c r="L308" i="7"/>
  <c r="L691" i="7"/>
  <c r="L957" i="7"/>
  <c r="L1641" i="7"/>
  <c r="L799" i="7"/>
  <c r="L667" i="7"/>
  <c r="L661" i="7"/>
  <c r="L1060" i="7"/>
  <c r="L829" i="7"/>
  <c r="L56" i="7"/>
  <c r="L1035" i="7"/>
  <c r="L430" i="7"/>
  <c r="L156" i="7"/>
  <c r="L879" i="7"/>
  <c r="L485" i="7"/>
  <c r="L285" i="7"/>
  <c r="L1284" i="7"/>
  <c r="L179" i="7"/>
  <c r="L25" i="7"/>
  <c r="L1118" i="7"/>
  <c r="L949" i="7"/>
  <c r="L1570" i="7"/>
  <c r="L1390" i="7"/>
  <c r="L1500" i="7"/>
  <c r="L817" i="7"/>
  <c r="L1055" i="7"/>
  <c r="L256" i="7"/>
  <c r="L440" i="7"/>
  <c r="L101" i="7"/>
  <c r="L1026" i="7"/>
  <c r="L250" i="7"/>
  <c r="L567" i="7"/>
  <c r="L924" i="7"/>
  <c r="L512" i="7"/>
  <c r="L1651" i="7"/>
  <c r="L497" i="7"/>
  <c r="L1398" i="7"/>
  <c r="L1115" i="7"/>
  <c r="L1234" i="7"/>
  <c r="L1109" i="7"/>
  <c r="L409" i="7"/>
  <c r="L1584" i="7"/>
  <c r="L1034" i="7"/>
  <c r="L1657" i="7"/>
  <c r="L1031" i="7"/>
  <c r="L753" i="7"/>
  <c r="L1196" i="7"/>
  <c r="L1301" i="7"/>
  <c r="L628" i="7"/>
  <c r="L265" i="7"/>
  <c r="L277" i="7"/>
  <c r="L1555" i="7"/>
  <c r="L1648" i="7"/>
  <c r="L610" i="7"/>
  <c r="L1327" i="7"/>
  <c r="L469" i="7"/>
  <c r="L1484" i="7"/>
  <c r="L262" i="7"/>
  <c r="L1515" i="7"/>
  <c r="L1449" i="7"/>
  <c r="L1108" i="7"/>
  <c r="L782" i="7"/>
  <c r="L583" i="7"/>
  <c r="L1508" i="7"/>
  <c r="L772" i="7"/>
  <c r="L416" i="7"/>
  <c r="L1603" i="7"/>
  <c r="L1612" i="7"/>
  <c r="L1193" i="7"/>
  <c r="L300" i="7"/>
  <c r="L1407" i="7"/>
  <c r="L261" i="7"/>
  <c r="L348" i="7"/>
  <c r="L1126" i="7"/>
  <c r="L120" i="7"/>
  <c r="L724" i="7"/>
  <c r="L1403" i="7"/>
  <c r="L190" i="7"/>
  <c r="L1231" i="7"/>
  <c r="L52" i="7"/>
  <c r="L636" i="7"/>
  <c r="L111" i="7"/>
  <c r="L1469" i="7"/>
  <c r="L1400" i="7"/>
  <c r="L1052" i="7"/>
  <c r="L1140" i="7"/>
  <c r="L307" i="7"/>
  <c r="L1659" i="7"/>
  <c r="L1663" i="7"/>
  <c r="L118" i="7"/>
  <c r="L321" i="7"/>
  <c r="L499" i="7"/>
  <c r="L749" i="7"/>
  <c r="L327" i="7"/>
  <c r="L1282" i="7"/>
  <c r="L1377" i="7"/>
  <c r="L1020" i="7"/>
  <c r="L488" i="7"/>
  <c r="L1012" i="7"/>
  <c r="L1306" i="7"/>
  <c r="L361" i="7"/>
  <c r="L710" i="7"/>
  <c r="L570" i="7"/>
  <c r="L988" i="7"/>
  <c r="L1154" i="7"/>
  <c r="L1014" i="7"/>
  <c r="L1160" i="7"/>
  <c r="L152" i="7"/>
  <c r="L214" i="7"/>
  <c r="L1085" i="7"/>
  <c r="L854" i="7"/>
  <c r="L1418" i="7"/>
  <c r="L231" i="7"/>
  <c r="L1456" i="7"/>
  <c r="L981" i="7"/>
  <c r="L1190" i="7"/>
  <c r="L545" i="7"/>
  <c r="L407" i="7"/>
  <c r="L511" i="7"/>
  <c r="L1613" i="7"/>
  <c r="L629" i="7"/>
  <c r="L1551" i="7"/>
  <c r="L536" i="7"/>
  <c r="L1195" i="7"/>
  <c r="L482" i="7"/>
  <c r="L1038" i="7"/>
  <c r="L707" i="7"/>
  <c r="L1241" i="7"/>
  <c r="L513" i="7"/>
  <c r="L222" i="7"/>
  <c r="L914" i="7"/>
  <c r="L736" i="7"/>
  <c r="L1103" i="7"/>
  <c r="L1073" i="7"/>
  <c r="L342" i="7"/>
  <c r="L1251" i="7"/>
  <c r="L1139" i="7"/>
  <c r="L1336" i="7"/>
  <c r="L1029" i="7"/>
  <c r="L423" i="7"/>
  <c r="L318" i="7"/>
  <c r="L1285" i="7"/>
  <c r="L1256" i="7"/>
  <c r="L223" i="7"/>
  <c r="L1323" i="7"/>
  <c r="L439" i="7"/>
  <c r="L405" i="7"/>
  <c r="L917" i="7"/>
  <c r="L533" i="7"/>
  <c r="L588" i="7"/>
  <c r="L1299" i="7"/>
  <c r="L1590" i="7"/>
  <c r="L613" i="7"/>
  <c r="L676" i="7"/>
  <c r="L781" i="7"/>
  <c r="L732" i="7"/>
  <c r="L1138" i="7"/>
  <c r="L1571" i="7"/>
  <c r="L1470" i="7"/>
  <c r="L236" i="7"/>
  <c r="L598" i="7"/>
  <c r="L398" i="7"/>
  <c r="L340" i="7"/>
  <c r="L59" i="7"/>
  <c r="L132" i="7"/>
  <c r="L1104" i="7"/>
  <c r="L802" i="7"/>
  <c r="L1542" i="7"/>
  <c r="L365" i="7"/>
  <c r="L1134" i="7"/>
  <c r="L859" i="7"/>
  <c r="L739" i="7"/>
  <c r="L172" i="7"/>
  <c r="L1180" i="7"/>
  <c r="L780" i="7"/>
  <c r="L823" i="7"/>
  <c r="L897" i="7"/>
  <c r="L174" i="7"/>
  <c r="L1087" i="7"/>
  <c r="L1517" i="7"/>
  <c r="L738" i="7"/>
  <c r="L1525" i="7"/>
  <c r="L77" i="7"/>
  <c r="L1127" i="7"/>
  <c r="L229" i="7"/>
  <c r="L491" i="7"/>
  <c r="L616" i="7"/>
  <c r="L153" i="7"/>
  <c r="L637" i="7"/>
  <c r="L550" i="7"/>
  <c r="L876" i="7"/>
  <c r="L414" i="7"/>
  <c r="L951" i="7"/>
  <c r="L1145" i="7"/>
  <c r="L784" i="7"/>
  <c r="L792" i="7"/>
  <c r="L1639" i="7"/>
  <c r="L810" i="7"/>
  <c r="L923" i="7"/>
  <c r="L506" i="7"/>
  <c r="L1562" i="7"/>
  <c r="L918" i="7"/>
  <c r="L459" i="7"/>
  <c r="L1099" i="7"/>
  <c r="L870" i="7"/>
  <c r="L979" i="7"/>
  <c r="L818" i="7"/>
  <c r="L788" i="7"/>
  <c r="L1426" i="7"/>
  <c r="L46" i="7"/>
  <c r="L417" i="7"/>
  <c r="L1156" i="7"/>
  <c r="L395" i="7"/>
  <c r="L1001" i="7"/>
  <c r="L902" i="7"/>
  <c r="L125" i="7"/>
  <c r="L845" i="7"/>
  <c r="L1623" i="7"/>
  <c r="L1021" i="7"/>
  <c r="L1481" i="7"/>
  <c r="L248" i="7"/>
  <c r="L95" i="7"/>
  <c r="L537" i="7"/>
  <c r="L352" i="7"/>
  <c r="L1233" i="7"/>
  <c r="L312" i="7"/>
  <c r="L276" i="7"/>
  <c r="L1305" i="7"/>
  <c r="L1058" i="7"/>
  <c r="L1632" i="7"/>
  <c r="L173" i="7"/>
  <c r="L1302" i="7"/>
  <c r="L662" i="7"/>
  <c r="L867" i="7"/>
  <c r="L1197" i="7"/>
  <c r="L1553" i="7"/>
  <c r="L72" i="7"/>
  <c r="L514" i="7"/>
  <c r="L181" i="7"/>
  <c r="L1427" i="7"/>
  <c r="L124" i="7"/>
  <c r="L411" i="7"/>
  <c r="L615" i="7"/>
  <c r="L468" i="7"/>
  <c r="L306" i="7"/>
  <c r="L504" i="7"/>
  <c r="L228" i="7"/>
  <c r="L1589" i="7"/>
  <c r="L1485" i="7"/>
  <c r="L576" i="7"/>
  <c r="L310" i="7"/>
  <c r="L85" i="7"/>
  <c r="L552" i="7"/>
  <c r="L966" i="7"/>
  <c r="L540" i="7"/>
  <c r="L206" i="7"/>
  <c r="L664" i="7"/>
  <c r="L1067" i="7"/>
  <c r="L1367" i="7"/>
  <c r="L196" i="7"/>
  <c r="L1215" i="7"/>
  <c r="L1312" i="7"/>
  <c r="L1119" i="7"/>
  <c r="L379" i="7"/>
  <c r="L377" i="7"/>
  <c r="L122" i="7"/>
  <c r="L761" i="7"/>
  <c r="L932" i="7"/>
  <c r="L1024" i="7"/>
  <c r="L622" i="7"/>
  <c r="L209" i="7"/>
  <c r="L1100" i="7"/>
  <c r="L1346" i="7"/>
  <c r="L836" i="7"/>
  <c r="L582" i="7"/>
  <c r="L553" i="7"/>
  <c r="L1543" i="7"/>
  <c r="L479" i="7"/>
  <c r="L1205" i="7"/>
  <c r="L1080" i="7"/>
  <c r="L1410" i="7"/>
  <c r="L164" i="7"/>
  <c r="L687" i="7"/>
  <c r="L1600" i="7"/>
  <c r="L607" i="7"/>
  <c r="L881" i="7"/>
  <c r="L1576" i="7"/>
  <c r="L1313" i="7"/>
  <c r="L526" i="7"/>
  <c r="L964" i="7"/>
  <c r="L773" i="7"/>
  <c r="L436" i="7"/>
  <c r="L32" i="7"/>
  <c r="L641" i="7"/>
  <c r="L1424" i="7"/>
  <c r="L212" i="7"/>
  <c r="L68" i="7"/>
  <c r="L1257" i="7"/>
  <c r="L1319" i="7"/>
  <c r="L1304" i="7"/>
  <c r="L992" i="7"/>
  <c r="L1468" i="7"/>
  <c r="L1288" i="7"/>
  <c r="L658" i="7"/>
  <c r="L494" i="7"/>
  <c r="L1437" i="7"/>
  <c r="L1541" i="7"/>
  <c r="L1482" i="7"/>
  <c r="L1056" i="7"/>
  <c r="L1611" i="7"/>
  <c r="L1644" i="7"/>
  <c r="L165" i="7"/>
  <c r="L410" i="7"/>
  <c r="L187" i="7"/>
  <c r="L363" i="7"/>
  <c r="L412" i="7"/>
  <c r="L1560" i="7"/>
  <c r="L1259" i="7"/>
  <c r="L35" i="7"/>
  <c r="L945" i="7"/>
  <c r="L269" i="7"/>
  <c r="L67" i="7"/>
  <c r="L776" i="7"/>
  <c r="L257" i="7"/>
  <c r="L128" i="7"/>
  <c r="L1362" i="7"/>
  <c r="L1526" i="7"/>
  <c r="L158" i="7"/>
  <c r="L1018" i="7"/>
  <c r="L644" i="7"/>
  <c r="L1643" i="7"/>
  <c r="L356" i="7"/>
  <c r="L1000" i="7"/>
  <c r="L883" i="7"/>
  <c r="L1394" i="7"/>
  <c r="L680" i="7"/>
  <c r="L1573" i="7"/>
  <c r="L376" i="7"/>
  <c r="L1155" i="7"/>
  <c r="L1045" i="7"/>
  <c r="L515" i="7"/>
  <c r="L733" i="7"/>
  <c r="L1467" i="7"/>
  <c r="L1176" i="7"/>
  <c r="L1630" i="7"/>
  <c r="L786" i="7"/>
  <c r="L827" i="7"/>
  <c r="L1084" i="7"/>
  <c r="L612" i="7"/>
  <c r="L998" i="7"/>
  <c r="L1142" i="7"/>
  <c r="L1182" i="7"/>
  <c r="L798" i="7"/>
  <c r="L1361" i="7"/>
  <c r="L381" i="7"/>
  <c r="L801" i="7"/>
  <c r="L472" i="7"/>
  <c r="L1222" i="7"/>
  <c r="L1019" i="7"/>
  <c r="L461" i="7"/>
  <c r="L1064" i="7"/>
  <c r="L432" i="7"/>
  <c r="L1112" i="7"/>
  <c r="L1654" i="7"/>
  <c r="L1216" i="7"/>
  <c r="L743" i="7"/>
  <c r="L232" i="7"/>
  <c r="L987" i="7"/>
  <c r="L191" i="7"/>
  <c r="L1169" i="7"/>
  <c r="L1277" i="7"/>
  <c r="L1065" i="7"/>
  <c r="L210" i="7"/>
  <c r="L873" i="7"/>
  <c r="L793" i="7"/>
  <c r="L1491" i="7"/>
  <c r="L218" i="7"/>
  <c r="L316" i="7"/>
  <c r="L1411" i="7"/>
  <c r="L858" i="7"/>
  <c r="L1529" i="7"/>
  <c r="L561" i="7"/>
  <c r="L1352" i="7"/>
  <c r="L247" i="7"/>
  <c r="L19" i="7"/>
  <c r="L467" i="7"/>
  <c r="L213" i="7"/>
  <c r="L65" i="7"/>
  <c r="L401" i="7"/>
  <c r="L114" i="7"/>
  <c r="L896" i="7"/>
  <c r="L326" i="7"/>
  <c r="L1347" i="7"/>
  <c r="L309" i="7"/>
  <c r="L1524" i="7"/>
  <c r="L424" i="7"/>
  <c r="L599" i="7"/>
  <c r="L245" i="7"/>
  <c r="L556" i="7"/>
  <c r="L1238" i="7"/>
  <c r="L260" i="7"/>
  <c r="L21" i="7"/>
  <c r="L253" i="7"/>
  <c r="L1254" i="7"/>
  <c r="L18" i="7"/>
  <c r="L1221" i="7"/>
  <c r="L1408" i="7"/>
  <c r="L435" i="7"/>
  <c r="L117" i="7"/>
  <c r="L1445" i="7"/>
  <c r="L1290" i="7"/>
  <c r="L254" i="7"/>
  <c r="L963" i="7"/>
  <c r="L1539" i="7"/>
  <c r="L263" i="7"/>
  <c r="L894" i="7"/>
  <c r="L1072" i="7"/>
  <c r="L466" i="7"/>
  <c r="L193" i="7"/>
  <c r="L159" i="7"/>
  <c r="L1583" i="7"/>
  <c r="L116" i="7"/>
  <c r="L1494" i="7"/>
  <c r="L475" i="7"/>
  <c r="L470" i="7"/>
  <c r="L291" i="7"/>
  <c r="L74" i="7"/>
  <c r="L1401" i="7"/>
  <c r="L539" i="7"/>
  <c r="L1130" i="7"/>
  <c r="L40" i="7"/>
  <c r="L759" i="7"/>
  <c r="L246" i="7"/>
  <c r="L17" i="7"/>
  <c r="L208" i="7"/>
  <c r="L1174" i="7"/>
  <c r="L751" i="7"/>
  <c r="L1557" i="7"/>
  <c r="L1062" i="7"/>
  <c r="L1132" i="7"/>
  <c r="L1120" i="7"/>
  <c r="L1267" i="7"/>
  <c r="L624" i="7"/>
  <c r="L1097" i="7"/>
  <c r="L711" i="7"/>
  <c r="L96" i="7"/>
  <c r="L1293" i="7"/>
  <c r="L1069" i="7"/>
  <c r="L78" i="7"/>
  <c r="L113" i="7"/>
  <c r="L168" i="7"/>
  <c r="L1333" i="7"/>
  <c r="L538" i="7"/>
  <c r="L448" i="7"/>
  <c r="L794" i="7"/>
  <c r="L1050" i="7"/>
  <c r="L105" i="7"/>
  <c r="L354" i="7"/>
  <c r="L758" i="7"/>
  <c r="L1372" i="7"/>
  <c r="L727" i="7"/>
  <c r="L1036" i="7"/>
  <c r="L437" i="7"/>
  <c r="L723" i="7"/>
  <c r="L559" i="7"/>
  <c r="L1458" i="7"/>
  <c r="L270" i="7"/>
  <c r="L986" i="7"/>
  <c r="L215" i="7"/>
  <c r="L155" i="7"/>
  <c r="L500" i="7"/>
  <c r="L452" i="7"/>
  <c r="L1621" i="7"/>
  <c r="L839" i="7"/>
  <c r="L1218" i="7"/>
  <c r="L1292" i="7"/>
  <c r="L1447" i="7"/>
  <c r="L329" i="7"/>
  <c r="L1096" i="7"/>
  <c r="L569" i="7"/>
  <c r="L490" i="7"/>
  <c r="L681" i="7"/>
  <c r="L1493" i="7"/>
  <c r="L92" i="7"/>
  <c r="L24" i="7"/>
  <c r="L167" i="7"/>
  <c r="L864" i="7"/>
  <c r="L544" i="7"/>
  <c r="L1202" i="7"/>
  <c r="L601" i="7"/>
  <c r="L192" i="7"/>
  <c r="L1434" i="7"/>
  <c r="L800" i="7"/>
  <c r="L653" i="7"/>
  <c r="L602" i="7"/>
  <c r="L969" i="7"/>
  <c r="L875" i="7"/>
  <c r="L1646" i="7"/>
  <c r="L1128" i="7"/>
  <c r="L696" i="7"/>
  <c r="L1399" i="7"/>
  <c r="L1179" i="7"/>
  <c r="L797" i="7"/>
  <c r="L180" i="7"/>
  <c r="L785" i="7"/>
  <c r="L177" i="7"/>
  <c r="L1440" i="7"/>
  <c r="L1049" i="7"/>
  <c r="L804" i="7"/>
  <c r="L1514" i="7"/>
  <c r="L217" i="7"/>
  <c r="L1546" i="7"/>
  <c r="L1587" i="7"/>
  <c r="L189" i="7"/>
  <c r="L927" i="7"/>
  <c r="L958" i="7"/>
  <c r="L777" i="7"/>
  <c r="L938" i="7"/>
  <c r="L714" i="7"/>
  <c r="L1375" i="7"/>
  <c r="L108" i="7"/>
  <c r="L1177" i="7"/>
  <c r="L301" i="7"/>
  <c r="L281" i="7"/>
  <c r="L1089" i="7"/>
  <c r="L555" i="7"/>
  <c r="L1433" i="7"/>
  <c r="L825" i="7"/>
  <c r="L980" i="7"/>
  <c r="L358" i="7"/>
  <c r="L1495" i="7"/>
  <c r="L769" i="7"/>
  <c r="L396" i="7"/>
  <c r="L866" i="7"/>
  <c r="L808" i="7"/>
  <c r="L901" i="7"/>
  <c r="L1244" i="7"/>
  <c r="L175" i="7"/>
  <c r="L682" i="7"/>
  <c r="L1635" i="7"/>
  <c r="L715" i="7"/>
  <c r="L838" i="7"/>
  <c r="L631" i="7"/>
  <c r="L1117" i="7"/>
  <c r="L360" i="7"/>
  <c r="L1483" i="7"/>
  <c r="L1330" i="7"/>
  <c r="L1530" i="7"/>
  <c r="L564" i="7"/>
  <c r="L1279" i="7"/>
  <c r="L541" i="7"/>
  <c r="L73" i="7"/>
  <c r="L460" i="7"/>
  <c r="L1343" i="7"/>
  <c r="L1188" i="7"/>
  <c r="L562" i="7"/>
  <c r="L1507" i="7"/>
  <c r="L1443" i="7"/>
  <c r="L921" i="7"/>
  <c r="L1533" i="7"/>
  <c r="L1486" i="7"/>
  <c r="L251" i="7"/>
  <c r="L1133" i="7"/>
  <c r="L1466" i="7"/>
  <c r="L63" i="7"/>
  <c r="L584" i="7"/>
  <c r="L355" i="7"/>
  <c r="L162" i="7"/>
  <c r="L1032" i="7"/>
  <c r="L605" i="7"/>
  <c r="L1022" i="7"/>
  <c r="L1068" i="7"/>
  <c r="L1005" i="7"/>
  <c r="L913" i="7"/>
  <c r="L795" i="7"/>
  <c r="L323" i="7"/>
  <c r="L1201" i="7"/>
  <c r="L1028" i="7"/>
  <c r="L651" i="7"/>
  <c r="L332" i="7"/>
  <c r="L892" i="7"/>
  <c r="L920" i="7"/>
  <c r="L1385" i="7"/>
  <c r="L503" i="7"/>
  <c r="L275" i="7"/>
  <c r="L548" i="7"/>
  <c r="L286" i="7"/>
  <c r="L1382" i="7"/>
  <c r="L771" i="7"/>
  <c r="L188" i="7"/>
  <c r="L123" i="7"/>
  <c r="L939" i="7"/>
  <c r="L1604" i="7"/>
  <c r="L1124" i="7"/>
  <c r="L1326" i="7"/>
  <c r="L1414" i="7"/>
  <c r="L1498" i="7"/>
  <c r="L418" i="7"/>
  <c r="L1123" i="7"/>
  <c r="L99" i="7"/>
  <c r="L272" i="7"/>
  <c r="L566" i="7"/>
  <c r="L1147" i="7"/>
  <c r="L1616" i="7"/>
  <c r="L324" i="7"/>
  <c r="L14" i="7"/>
  <c r="L655" i="7"/>
  <c r="L574" i="7"/>
  <c r="L496" i="7"/>
  <c r="L880" i="7"/>
  <c r="L1239" i="7"/>
  <c r="L392" i="7"/>
  <c r="L860" i="7"/>
  <c r="L197" i="7"/>
  <c r="L1450" i="7"/>
  <c r="L1328" i="7"/>
  <c r="L37" i="7"/>
  <c r="L717" i="7"/>
  <c r="L266" i="7"/>
  <c r="L70" i="7"/>
  <c r="L678" i="7"/>
  <c r="L1387" i="7"/>
  <c r="L650" i="7"/>
  <c r="L137" i="7"/>
  <c r="L1451" i="7"/>
  <c r="L42" i="7"/>
  <c r="L579" i="7"/>
  <c r="L953" i="7"/>
  <c r="L463" i="7"/>
  <c r="L1477" i="7"/>
  <c r="L287" i="7"/>
  <c r="L48" i="7"/>
  <c r="L1063" i="7"/>
  <c r="L1166" i="7"/>
  <c r="L93" i="7"/>
  <c r="L1291" i="7"/>
  <c r="L362" i="7"/>
  <c r="L586" i="7"/>
  <c r="L1249" i="7"/>
  <c r="L1164" i="7"/>
  <c r="L1122" i="7"/>
  <c r="L1105" i="7"/>
  <c r="L856" i="7"/>
  <c r="L608" i="7"/>
  <c r="L1476" i="7"/>
  <c r="L1165" i="7"/>
  <c r="L1226" i="7"/>
  <c r="L934" i="7"/>
  <c r="L289" i="7"/>
  <c r="L993" i="7"/>
  <c r="L1487" i="7"/>
  <c r="L973" i="7"/>
  <c r="L151" i="7"/>
  <c r="L1243" i="7"/>
  <c r="L1615" i="7"/>
  <c r="L1492" i="7"/>
  <c r="L1136" i="7"/>
  <c r="L814" i="7"/>
  <c r="L1033" i="7"/>
  <c r="L1566" i="7"/>
  <c r="L1365" i="7"/>
  <c r="L783" i="7"/>
  <c r="L271" i="7"/>
  <c r="L1095" i="7"/>
  <c r="L375" i="7"/>
  <c r="L975" i="7"/>
  <c r="L1013" i="7"/>
  <c r="L50" i="7"/>
  <c r="L816" i="7"/>
  <c r="L549" i="7"/>
  <c r="L134" i="7"/>
  <c r="L1322" i="7"/>
  <c r="L1043" i="7"/>
  <c r="L1332" i="7"/>
  <c r="L225" i="7"/>
  <c r="L1158" i="7"/>
  <c r="L1061" i="7"/>
  <c r="L665" i="7"/>
  <c r="L1489" i="7"/>
  <c r="L1131" i="7"/>
  <c r="L516" i="7"/>
  <c r="L1479" i="7"/>
  <c r="L335" i="7"/>
  <c r="L91" i="7"/>
  <c r="L1519" i="7"/>
  <c r="L1204" i="7"/>
  <c r="L841" i="7"/>
  <c r="L1081" i="7"/>
  <c r="L1522" i="7"/>
  <c r="L126" i="7"/>
  <c r="L668" i="7"/>
  <c r="L1415" i="7"/>
  <c r="L833" i="7"/>
  <c r="L970" i="7"/>
  <c r="L171" i="7"/>
  <c r="L292" i="7"/>
  <c r="L1360" i="7"/>
  <c r="L1606" i="7"/>
  <c r="L402" i="7"/>
  <c r="L453" i="7"/>
  <c r="L1480" i="7"/>
  <c r="L1106" i="7"/>
  <c r="L657" i="7"/>
  <c r="L1004" i="7"/>
  <c r="L789" i="7"/>
  <c r="L339" i="7"/>
  <c r="L333" i="7"/>
  <c r="L487" i="7"/>
  <c r="L843" i="7"/>
  <c r="L1116" i="7"/>
  <c r="L415" i="7"/>
  <c r="L703" i="7"/>
  <c r="L1363" i="7"/>
  <c r="L1504" i="7"/>
  <c r="L22" i="7"/>
  <c r="L1580" i="7"/>
  <c r="L1286" i="7"/>
  <c r="L1592" i="7"/>
  <c r="L1614" i="7"/>
  <c r="L1203" i="7"/>
  <c r="L1420" i="7"/>
  <c r="L397" i="7"/>
  <c r="L1355" i="7"/>
  <c r="L666" i="7"/>
  <c r="L686" i="7"/>
  <c r="L529" i="7"/>
  <c r="L284" i="7"/>
  <c r="L737" i="7"/>
  <c r="L1459" i="7"/>
  <c r="L1490" i="7"/>
  <c r="L176" i="7"/>
  <c r="L527" i="7"/>
  <c r="L1618" i="7"/>
  <c r="L734" i="7"/>
  <c r="L1634" i="7"/>
  <c r="L852" i="7"/>
  <c r="L1521" i="7"/>
  <c r="L502" i="7"/>
  <c r="L1349" i="7"/>
  <c r="L1629" i="7"/>
  <c r="L1141" i="7"/>
  <c r="L1198" i="7"/>
  <c r="L508" i="7"/>
  <c r="L434" i="7"/>
  <c r="L55" i="7"/>
  <c r="L474" i="7"/>
  <c r="L770" i="7"/>
  <c r="L1307" i="7"/>
  <c r="L748" i="7"/>
  <c r="L505" i="7"/>
  <c r="L449" i="7"/>
  <c r="L1617" i="7"/>
  <c r="L394" i="7"/>
  <c r="L1173" i="7"/>
  <c r="L1565" i="7"/>
  <c r="L1025" i="7"/>
  <c r="L775" i="7"/>
  <c r="L455" i="7"/>
  <c r="L1041" i="7"/>
  <c r="L813" i="7"/>
  <c r="L235" i="7"/>
  <c r="L198" i="7"/>
  <c r="L950" i="7"/>
  <c r="L1563" i="7"/>
  <c r="L1229" i="7"/>
  <c r="L315" i="7"/>
  <c r="L1556" i="7"/>
  <c r="L640" i="7"/>
  <c r="L581" i="7"/>
  <c r="L390" i="7"/>
  <c r="L1039" i="7"/>
  <c r="L861" i="7"/>
  <c r="L606" i="7"/>
  <c r="L216" i="7"/>
  <c r="L150" i="7"/>
  <c r="L383" i="7"/>
  <c r="L978" i="7"/>
  <c r="L997" i="7"/>
  <c r="L826" i="7"/>
  <c r="L874" i="7"/>
  <c r="L492" i="7"/>
  <c r="L903" i="7"/>
  <c r="L1298" i="7"/>
  <c r="L127" i="7"/>
  <c r="L28" i="7"/>
  <c r="L1315" i="7"/>
  <c r="L299" i="7"/>
  <c r="L790" i="7"/>
  <c r="L1113" i="7"/>
  <c r="L1350" i="7"/>
  <c r="L273" i="7"/>
  <c r="L1452" i="7"/>
  <c r="L1157" i="7"/>
  <c r="L695" i="7"/>
  <c r="L119" i="7"/>
  <c r="L1457" i="7"/>
  <c r="L542" i="7"/>
  <c r="L1506" i="7"/>
  <c r="L1309" i="7"/>
  <c r="L547" i="7"/>
  <c r="L1474" i="7"/>
  <c r="L1278" i="7"/>
  <c r="L872" i="7"/>
  <c r="L1017" i="7"/>
  <c r="L947" i="7"/>
  <c r="L1353" i="7"/>
  <c r="L821" i="7"/>
  <c r="L888" i="7"/>
  <c r="L389" i="7"/>
  <c r="L989" i="7"/>
  <c r="L626" i="7"/>
  <c r="L387" i="7"/>
  <c r="L1431" i="7"/>
  <c r="L990" i="7"/>
  <c r="L186" i="7"/>
  <c r="L976" i="7"/>
  <c r="L1054" i="7"/>
  <c r="L1066" i="7"/>
  <c r="L345" i="7"/>
  <c r="L140" i="7"/>
  <c r="E6" i="24"/>
  <c r="F6" i="24"/>
  <c r="N1066" i="7"/>
  <c r="F1066" i="17"/>
  <c r="M1066" i="7"/>
  <c r="E1066" i="17"/>
  <c r="E1066" i="24"/>
  <c r="M989" i="7"/>
  <c r="E989" i="17"/>
  <c r="N989" i="7"/>
  <c r="F989" i="17"/>
  <c r="N1506" i="7"/>
  <c r="F1506" i="17"/>
  <c r="M1506" i="7"/>
  <c r="E1506" i="17"/>
  <c r="E1506" i="24"/>
  <c r="N1350" i="7"/>
  <c r="F1350" i="17"/>
  <c r="M1350" i="7"/>
  <c r="E1350" i="17"/>
  <c r="N390" i="7"/>
  <c r="F390" i="17"/>
  <c r="M390" i="7"/>
  <c r="E390" i="17"/>
  <c r="E390" i="24"/>
  <c r="M455" i="7"/>
  <c r="E455" i="17"/>
  <c r="N455" i="7"/>
  <c r="F455" i="17"/>
  <c r="N505" i="7"/>
  <c r="F505" i="17"/>
  <c r="M505" i="7"/>
  <c r="E505" i="17"/>
  <c r="E505" i="24"/>
  <c r="M1198" i="7"/>
  <c r="E1198" i="17"/>
  <c r="N1198" i="7"/>
  <c r="F1198" i="17"/>
  <c r="N1490" i="7"/>
  <c r="F1490" i="17"/>
  <c r="M1490" i="7"/>
  <c r="E1490" i="17"/>
  <c r="E1490" i="24"/>
  <c r="N397" i="7"/>
  <c r="F397" i="17"/>
  <c r="M397" i="7"/>
  <c r="E397" i="17"/>
  <c r="N1504" i="7"/>
  <c r="F1504" i="17"/>
  <c r="M1504" i="7"/>
  <c r="E1504" i="17"/>
  <c r="E1504" i="24"/>
  <c r="M1106" i="7"/>
  <c r="E1106" i="17"/>
  <c r="N1106" i="7"/>
  <c r="F1106" i="17"/>
  <c r="N970" i="7"/>
  <c r="F970" i="17"/>
  <c r="M970" i="7"/>
  <c r="E970" i="17"/>
  <c r="M1479" i="7"/>
  <c r="E1479" i="17"/>
  <c r="N1479" i="7"/>
  <c r="F1479" i="17"/>
  <c r="M1332" i="7"/>
  <c r="E1332" i="17"/>
  <c r="N1332" i="7"/>
  <c r="F1332" i="17"/>
  <c r="N783" i="7"/>
  <c r="F783" i="17"/>
  <c r="M783" i="7"/>
  <c r="E783" i="17"/>
  <c r="M1243" i="7"/>
  <c r="E1243" i="17"/>
  <c r="N1243" i="7"/>
  <c r="F1243" i="17"/>
  <c r="N1165" i="7"/>
  <c r="F1165" i="17"/>
  <c r="M1165" i="7"/>
  <c r="E1165" i="17"/>
  <c r="M1166" i="7"/>
  <c r="E1166" i="17"/>
  <c r="N1166" i="7"/>
  <c r="F1166" i="17"/>
  <c r="N42" i="7"/>
  <c r="F42" i="17"/>
  <c r="M42" i="7"/>
  <c r="E42" i="17"/>
  <c r="M197" i="7"/>
  <c r="E197" i="17"/>
  <c r="N197" i="7"/>
  <c r="F197" i="17"/>
  <c r="M1124" i="7"/>
  <c r="E1124" i="17"/>
  <c r="N1124" i="7"/>
  <c r="F1124" i="17"/>
  <c r="M548" i="7"/>
  <c r="E548" i="17"/>
  <c r="N548" i="7"/>
  <c r="F548" i="17"/>
  <c r="M584" i="7"/>
  <c r="E584" i="17"/>
  <c r="N584" i="7"/>
  <c r="F584" i="17"/>
  <c r="N1443" i="7"/>
  <c r="F1443" i="17"/>
  <c r="M1443" i="7"/>
  <c r="E1443" i="17"/>
  <c r="M1279" i="7"/>
  <c r="E1279" i="17"/>
  <c r="N1279" i="7"/>
  <c r="F1279" i="17"/>
  <c r="M175" i="7"/>
  <c r="E175" i="17"/>
  <c r="N175" i="7"/>
  <c r="F175" i="17"/>
  <c r="M358" i="7"/>
  <c r="E358" i="17"/>
  <c r="N358" i="7"/>
  <c r="F358" i="17"/>
  <c r="N938" i="7"/>
  <c r="F938" i="17"/>
  <c r="M938" i="7"/>
  <c r="E938" i="17"/>
  <c r="M1514" i="7"/>
  <c r="E1514" i="17"/>
  <c r="N1514" i="7"/>
  <c r="F1514" i="17"/>
  <c r="M1179" i="7"/>
  <c r="E1179" i="17"/>
  <c r="N1179" i="7"/>
  <c r="F1179" i="17"/>
  <c r="M601" i="7"/>
  <c r="E601" i="17"/>
  <c r="N601" i="7"/>
  <c r="F601" i="17"/>
  <c r="M681" i="7"/>
  <c r="E681" i="17"/>
  <c r="N681" i="7"/>
  <c r="F681" i="17"/>
  <c r="M155" i="7"/>
  <c r="E155" i="17"/>
  <c r="N155" i="7"/>
  <c r="F155" i="17"/>
  <c r="N354" i="7"/>
  <c r="F354" i="17"/>
  <c r="M354" i="7"/>
  <c r="E354" i="17"/>
  <c r="N96" i="7"/>
  <c r="F96" i="17"/>
  <c r="M96" i="7"/>
  <c r="E96" i="17"/>
  <c r="N1278" i="7"/>
  <c r="M1278" i="7"/>
  <c r="M216" i="7"/>
  <c r="E216" i="17"/>
  <c r="N216" i="7"/>
  <c r="F216" i="17"/>
  <c r="N1173" i="7"/>
  <c r="F1173" i="17"/>
  <c r="M1173" i="7"/>
  <c r="E1173" i="17"/>
  <c r="M734" i="7"/>
  <c r="E734" i="17"/>
  <c r="N734" i="7"/>
  <c r="F734" i="17"/>
  <c r="M1116" i="7"/>
  <c r="E1116" i="17"/>
  <c r="N1116" i="7"/>
  <c r="F1116" i="17"/>
  <c r="N126" i="7"/>
  <c r="F126" i="17"/>
  <c r="M126" i="7"/>
  <c r="E126" i="17"/>
  <c r="M975" i="7"/>
  <c r="E975" i="17"/>
  <c r="N975" i="7"/>
  <c r="F975" i="17"/>
  <c r="N1105" i="7"/>
  <c r="F1105" i="17"/>
  <c r="M1105" i="7"/>
  <c r="E1105" i="17"/>
  <c r="M1387" i="7"/>
  <c r="E1387" i="17"/>
  <c r="N1387" i="7"/>
  <c r="F1387" i="17"/>
  <c r="M418" i="7"/>
  <c r="E418" i="17"/>
  <c r="N418" i="7"/>
  <c r="F418" i="17"/>
  <c r="M1028" i="7"/>
  <c r="E1028" i="17"/>
  <c r="N1028" i="7"/>
  <c r="F1028" i="17"/>
  <c r="M838" i="7"/>
  <c r="E838" i="17"/>
  <c r="N838" i="7"/>
  <c r="F838" i="17"/>
  <c r="N1177" i="7"/>
  <c r="F1177" i="17"/>
  <c r="M1177" i="7"/>
  <c r="E1177" i="17"/>
  <c r="M1646" i="7"/>
  <c r="E1646" i="17"/>
  <c r="N1646" i="7"/>
  <c r="F1646" i="17"/>
  <c r="M329" i="7"/>
  <c r="E329" i="17"/>
  <c r="N329" i="7"/>
  <c r="F329" i="17"/>
  <c r="N1036" i="7"/>
  <c r="F1036" i="17"/>
  <c r="M1036" i="7"/>
  <c r="E1036" i="17"/>
  <c r="N113" i="7"/>
  <c r="F113" i="17"/>
  <c r="M113" i="7"/>
  <c r="E113" i="17"/>
  <c r="N1557" i="7"/>
  <c r="F1557" i="17"/>
  <c r="M1557" i="7"/>
  <c r="E1557" i="17"/>
  <c r="M1130" i="7"/>
  <c r="E1130" i="17"/>
  <c r="N1130" i="7"/>
  <c r="F1130" i="17"/>
  <c r="N116" i="7"/>
  <c r="F116" i="17"/>
  <c r="M116" i="7"/>
  <c r="E116" i="17"/>
  <c r="N21" i="7"/>
  <c r="F21" i="17"/>
  <c r="M21" i="7"/>
  <c r="E21" i="17"/>
  <c r="M1445" i="7"/>
  <c r="E1445" i="17"/>
  <c r="N1445" i="7"/>
  <c r="F1445" i="17"/>
  <c r="M990" i="7"/>
  <c r="E990" i="17"/>
  <c r="N990" i="7"/>
  <c r="F990" i="17"/>
  <c r="M1353" i="7"/>
  <c r="E1353" i="17"/>
  <c r="N1353" i="7"/>
  <c r="F1353" i="17"/>
  <c r="M695" i="7"/>
  <c r="E695" i="17"/>
  <c r="N695" i="7"/>
  <c r="F695" i="17"/>
  <c r="N1315" i="7"/>
  <c r="F1315" i="17"/>
  <c r="M1315" i="7"/>
  <c r="E1315" i="17"/>
  <c r="N997" i="7"/>
  <c r="F997" i="17"/>
  <c r="M997" i="7"/>
  <c r="E997" i="17"/>
  <c r="N315" i="7"/>
  <c r="F315" i="17"/>
  <c r="M315" i="7"/>
  <c r="E315" i="17"/>
  <c r="M198" i="7"/>
  <c r="E198" i="17"/>
  <c r="N198" i="7"/>
  <c r="F198" i="17"/>
  <c r="M474" i="7"/>
  <c r="E474" i="17"/>
  <c r="N474" i="7"/>
  <c r="F474" i="17"/>
  <c r="N502" i="7"/>
  <c r="F502" i="17"/>
  <c r="M502" i="7"/>
  <c r="E502" i="17"/>
  <c r="M529" i="7"/>
  <c r="E529" i="17"/>
  <c r="N529" i="7"/>
  <c r="F529" i="17"/>
  <c r="N339" i="7"/>
  <c r="F339" i="17"/>
  <c r="M339" i="7"/>
  <c r="E339" i="17"/>
  <c r="N1606" i="7"/>
  <c r="F1606" i="17"/>
  <c r="M1606" i="7"/>
  <c r="E1606" i="17"/>
  <c r="N1204" i="7"/>
  <c r="F1204" i="17"/>
  <c r="M1204" i="7"/>
  <c r="E1204" i="17"/>
  <c r="N665" i="7"/>
  <c r="F665" i="17"/>
  <c r="M665" i="7"/>
  <c r="E665" i="17"/>
  <c r="N549" i="7"/>
  <c r="F549" i="17"/>
  <c r="M549" i="7"/>
  <c r="E549" i="17"/>
  <c r="N814" i="7"/>
  <c r="F814" i="17"/>
  <c r="M814" i="7"/>
  <c r="E814" i="17"/>
  <c r="M993" i="7"/>
  <c r="E993" i="17"/>
  <c r="N993" i="7"/>
  <c r="F993" i="17"/>
  <c r="M586" i="7"/>
  <c r="E586" i="17"/>
  <c r="N586" i="7"/>
  <c r="F586" i="17"/>
  <c r="N1477" i="7"/>
  <c r="F1477" i="17"/>
  <c r="M1477" i="7"/>
  <c r="E1477" i="17"/>
  <c r="M717" i="7"/>
  <c r="E717" i="17"/>
  <c r="N717" i="7"/>
  <c r="F717" i="17"/>
  <c r="M880" i="7"/>
  <c r="E880" i="17"/>
  <c r="N880" i="7"/>
  <c r="F880" i="17"/>
  <c r="M566" i="7"/>
  <c r="E566" i="17"/>
  <c r="N566" i="7"/>
  <c r="F566" i="17"/>
  <c r="N188" i="7"/>
  <c r="F188" i="17"/>
  <c r="M188" i="7"/>
  <c r="E188" i="17"/>
  <c r="N920" i="7"/>
  <c r="F920" i="17"/>
  <c r="M920" i="7"/>
  <c r="E920" i="17"/>
  <c r="N605" i="7"/>
  <c r="F605" i="17"/>
  <c r="M605" i="7"/>
  <c r="E605" i="17"/>
  <c r="M251" i="7"/>
  <c r="E251" i="17"/>
  <c r="N251" i="7"/>
  <c r="F251" i="17"/>
  <c r="N1343" i="7"/>
  <c r="M1343" i="7"/>
  <c r="N1483" i="7"/>
  <c r="F1483" i="17"/>
  <c r="M1483" i="7"/>
  <c r="E1483" i="17"/>
  <c r="N866" i="7"/>
  <c r="F866" i="17"/>
  <c r="M866" i="7"/>
  <c r="E866" i="17"/>
  <c r="M555" i="7"/>
  <c r="E555" i="17"/>
  <c r="N555" i="7"/>
  <c r="F555" i="17"/>
  <c r="N189" i="7"/>
  <c r="F189" i="17"/>
  <c r="M189" i="7"/>
  <c r="E189" i="17"/>
  <c r="N177" i="7"/>
  <c r="F177" i="17"/>
  <c r="M177" i="7"/>
  <c r="E177" i="17"/>
  <c r="M653" i="7"/>
  <c r="E653" i="17"/>
  <c r="N653" i="7"/>
  <c r="F653" i="17"/>
  <c r="N167" i="7"/>
  <c r="F167" i="17"/>
  <c r="M167" i="7"/>
  <c r="E167" i="17"/>
  <c r="N839" i="7"/>
  <c r="F839" i="17"/>
  <c r="M839" i="7"/>
  <c r="E839" i="17"/>
  <c r="N1458" i="7"/>
  <c r="F1458" i="17"/>
  <c r="M1458" i="7"/>
  <c r="E1458" i="17"/>
  <c r="N17" i="7"/>
  <c r="F17" i="17"/>
  <c r="M17" i="7"/>
  <c r="E17" i="17"/>
  <c r="N291" i="7"/>
  <c r="F291" i="17"/>
  <c r="M291" i="7"/>
  <c r="E291" i="17"/>
  <c r="M466" i="7"/>
  <c r="E466" i="17"/>
  <c r="N466" i="7"/>
  <c r="F466" i="17"/>
  <c r="N1221" i="7"/>
  <c r="F1221" i="17"/>
  <c r="M1221" i="7"/>
  <c r="E1221" i="17"/>
  <c r="N114" i="7"/>
  <c r="F114" i="17"/>
  <c r="M114" i="7"/>
  <c r="E114" i="17"/>
  <c r="M316" i="7"/>
  <c r="E316" i="17"/>
  <c r="N316" i="7"/>
  <c r="F316" i="17"/>
  <c r="M743" i="7"/>
  <c r="E743" i="17"/>
  <c r="N743" i="7"/>
  <c r="F743" i="17"/>
  <c r="M1361" i="7"/>
  <c r="E1361" i="17"/>
  <c r="N1361" i="7"/>
  <c r="F1361" i="17"/>
  <c r="N786" i="7"/>
  <c r="F786" i="17"/>
  <c r="M786" i="7"/>
  <c r="E786" i="17"/>
  <c r="M376" i="7"/>
  <c r="N376" i="7"/>
  <c r="N1362" i="7"/>
  <c r="F1362" i="17"/>
  <c r="M1362" i="7"/>
  <c r="E1362" i="17"/>
  <c r="N187" i="7"/>
  <c r="F187" i="17"/>
  <c r="M187" i="7"/>
  <c r="E187" i="17"/>
  <c r="M1468" i="7"/>
  <c r="E1468" i="17"/>
  <c r="N1468" i="7"/>
  <c r="F1468" i="17"/>
  <c r="N641" i="7"/>
  <c r="F641" i="17"/>
  <c r="M641" i="7"/>
  <c r="E641" i="17"/>
  <c r="N164" i="7"/>
  <c r="F164" i="17"/>
  <c r="M164" i="7"/>
  <c r="E164" i="17"/>
  <c r="M836" i="7"/>
  <c r="E836" i="17"/>
  <c r="N836" i="7"/>
  <c r="F836" i="17"/>
  <c r="N1312" i="7"/>
  <c r="F1312" i="17"/>
  <c r="M1312" i="7"/>
  <c r="E1312" i="17"/>
  <c r="M504" i="7"/>
  <c r="E504" i="17"/>
  <c r="N504" i="7"/>
  <c r="F504" i="17"/>
  <c r="M867" i="7"/>
  <c r="E867" i="17"/>
  <c r="N867" i="7"/>
  <c r="F867" i="17"/>
  <c r="N312" i="7"/>
  <c r="F312" i="17"/>
  <c r="M312" i="7"/>
  <c r="E312" i="17"/>
  <c r="N1001" i="7"/>
  <c r="F1001" i="17"/>
  <c r="M1001" i="7"/>
  <c r="E1001" i="17"/>
  <c r="M918" i="7"/>
  <c r="E918" i="17"/>
  <c r="N918" i="7"/>
  <c r="F918" i="17"/>
  <c r="M550" i="7"/>
  <c r="E550" i="17"/>
  <c r="N550" i="7"/>
  <c r="F550" i="17"/>
  <c r="N1134" i="7"/>
  <c r="F1134" i="17"/>
  <c r="M1134" i="7"/>
  <c r="E1134" i="17"/>
  <c r="N710" i="7"/>
  <c r="F710" i="17"/>
  <c r="M710" i="7"/>
  <c r="E710" i="17"/>
  <c r="N118" i="7"/>
  <c r="F118" i="17"/>
  <c r="M118" i="7"/>
  <c r="E118" i="17"/>
  <c r="N1403" i="7"/>
  <c r="F1403" i="17"/>
  <c r="M1403" i="7"/>
  <c r="E1403" i="17"/>
  <c r="N1193" i="7"/>
  <c r="F1193" i="17"/>
  <c r="M1193" i="7"/>
  <c r="E1193" i="17"/>
  <c r="N1484" i="7"/>
  <c r="F1484" i="17"/>
  <c r="M1484" i="7"/>
  <c r="E1484" i="17"/>
  <c r="N628" i="7"/>
  <c r="F628" i="17"/>
  <c r="M628" i="7"/>
  <c r="E628" i="17"/>
  <c r="N924" i="7"/>
  <c r="F924" i="17"/>
  <c r="M924" i="7"/>
  <c r="E924" i="17"/>
  <c r="M817" i="7"/>
  <c r="E817" i="17"/>
  <c r="N817" i="7"/>
  <c r="F817" i="17"/>
  <c r="M156" i="7"/>
  <c r="E156" i="17"/>
  <c r="N156" i="7"/>
  <c r="F156" i="17"/>
  <c r="M308" i="7"/>
  <c r="E308" i="17"/>
  <c r="N308" i="7"/>
  <c r="F308" i="17"/>
  <c r="M754" i="7"/>
  <c r="E754" i="17"/>
  <c r="N754" i="7"/>
  <c r="F754" i="17"/>
  <c r="M182" i="7"/>
  <c r="E182" i="17"/>
  <c r="N182" i="7"/>
  <c r="F182" i="17"/>
  <c r="N828" i="7"/>
  <c r="F828" i="17"/>
  <c r="M828" i="7"/>
  <c r="E828" i="17"/>
  <c r="M791" i="7"/>
  <c r="E791" i="17"/>
  <c r="N791" i="7"/>
  <c r="F791" i="17"/>
  <c r="N1473" i="7"/>
  <c r="F1473" i="17"/>
  <c r="M1473" i="7"/>
  <c r="E1473" i="17"/>
  <c r="M774" i="7"/>
  <c r="E774" i="17"/>
  <c r="N774" i="7"/>
  <c r="F774" i="17"/>
  <c r="M302" i="7"/>
  <c r="E302" i="17"/>
  <c r="N302" i="7"/>
  <c r="F302" i="17"/>
  <c r="N507" i="7"/>
  <c r="F507" i="17"/>
  <c r="M507" i="7"/>
  <c r="E507" i="17"/>
  <c r="N806" i="7"/>
  <c r="F806" i="17"/>
  <c r="M806" i="7"/>
  <c r="E806" i="17"/>
  <c r="M1441" i="7"/>
  <c r="E1441" i="17"/>
  <c r="N1441" i="7"/>
  <c r="F1441" i="17"/>
  <c r="M501" i="7"/>
  <c r="E501" i="17"/>
  <c r="N501" i="7"/>
  <c r="F501" i="17"/>
  <c r="N1213" i="7"/>
  <c r="F1213" i="17"/>
  <c r="M1213" i="7"/>
  <c r="E1213" i="17"/>
  <c r="M1454" i="7"/>
  <c r="E1454" i="17"/>
  <c r="N1454" i="7"/>
  <c r="F1454" i="17"/>
  <c r="M337" i="7"/>
  <c r="E337" i="17"/>
  <c r="N337" i="7"/>
  <c r="F337" i="17"/>
  <c r="N317" i="7"/>
  <c r="F317" i="17"/>
  <c r="M317" i="7"/>
  <c r="E317" i="17"/>
  <c r="N421" i="7"/>
  <c r="F421" i="17"/>
  <c r="M421" i="7"/>
  <c r="E421" i="17"/>
  <c r="N1219" i="7"/>
  <c r="F1219" i="17"/>
  <c r="M1219" i="7"/>
  <c r="E1219" i="17"/>
  <c r="M1605" i="7"/>
  <c r="E1605" i="17"/>
  <c r="N1605" i="7"/>
  <c r="F1605" i="17"/>
  <c r="M304" i="7"/>
  <c r="E304" i="17"/>
  <c r="N304" i="7"/>
  <c r="F304" i="17"/>
  <c r="N1432" i="7"/>
  <c r="F1432" i="17"/>
  <c r="M1432" i="7"/>
  <c r="E1432" i="17"/>
  <c r="M1532" i="7"/>
  <c r="E1532" i="17"/>
  <c r="N1532" i="7"/>
  <c r="F1532" i="17"/>
  <c r="M41" i="7"/>
  <c r="E41" i="17"/>
  <c r="N41" i="7"/>
  <c r="F41" i="17"/>
  <c r="N1388" i="7"/>
  <c r="F1388" i="17"/>
  <c r="M1388" i="7"/>
  <c r="E1388" i="17"/>
  <c r="M1266" i="7"/>
  <c r="E1266" i="17"/>
  <c r="N1266" i="7"/>
  <c r="F1266" i="17"/>
  <c r="M220" i="7"/>
  <c r="E220" i="17"/>
  <c r="N220" i="7"/>
  <c r="F220" i="17"/>
  <c r="M639" i="7"/>
  <c r="E639" i="17"/>
  <c r="N639" i="7"/>
  <c r="F639" i="17"/>
  <c r="N364" i="7"/>
  <c r="F364" i="17"/>
  <c r="M364" i="7"/>
  <c r="E364" i="17"/>
  <c r="M1300" i="7"/>
  <c r="E1300" i="17"/>
  <c r="N1300" i="7"/>
  <c r="F1300" i="17"/>
  <c r="M1030" i="7"/>
  <c r="E1030" i="17"/>
  <c r="N1030" i="7"/>
  <c r="F1030" i="17"/>
  <c r="N115" i="7"/>
  <c r="F115" i="17"/>
  <c r="M115" i="7"/>
  <c r="E115" i="17"/>
  <c r="N1110" i="7"/>
  <c r="F1110" i="17"/>
  <c r="M1110" i="7"/>
  <c r="E1110" i="17"/>
  <c r="N438" i="7"/>
  <c r="F438" i="17"/>
  <c r="M438" i="7"/>
  <c r="E438" i="17"/>
  <c r="N735" i="7"/>
  <c r="F735" i="17"/>
  <c r="M735" i="7"/>
  <c r="E735" i="17"/>
  <c r="N931" i="7"/>
  <c r="F931" i="17"/>
  <c r="M931" i="7"/>
  <c r="E931" i="17"/>
  <c r="M1568" i="7"/>
  <c r="E1568" i="17"/>
  <c r="N1568" i="7"/>
  <c r="F1568" i="17"/>
  <c r="M404" i="7"/>
  <c r="E404" i="17"/>
  <c r="N404" i="7"/>
  <c r="F404" i="17"/>
  <c r="N660" i="7"/>
  <c r="F660" i="17"/>
  <c r="M660" i="7"/>
  <c r="E660" i="17"/>
  <c r="M1631" i="7"/>
  <c r="E1631" i="17"/>
  <c r="N1631" i="7"/>
  <c r="F1631" i="17"/>
  <c r="M704" i="7"/>
  <c r="E704" i="17"/>
  <c r="N704" i="7"/>
  <c r="F704" i="17"/>
  <c r="N1295" i="7"/>
  <c r="F1295" i="17"/>
  <c r="M1295" i="7"/>
  <c r="E1295" i="17"/>
  <c r="M380" i="7"/>
  <c r="E380" i="17"/>
  <c r="N380" i="7"/>
  <c r="F380" i="17"/>
  <c r="M334" i="7"/>
  <c r="E334" i="17"/>
  <c r="N334" i="7"/>
  <c r="F334" i="17"/>
  <c r="M621" i="7"/>
  <c r="E621" i="17"/>
  <c r="N621" i="7"/>
  <c r="F621" i="17"/>
  <c r="N483" i="7"/>
  <c r="F483" i="17"/>
  <c r="M483" i="7"/>
  <c r="E483" i="17"/>
  <c r="N426" i="7"/>
  <c r="F426" i="17"/>
  <c r="M426" i="7"/>
  <c r="E426" i="17"/>
  <c r="N1320" i="7"/>
  <c r="F1320" i="17"/>
  <c r="M1320" i="7"/>
  <c r="E1320" i="17"/>
  <c r="N1518" i="7"/>
  <c r="F1518" i="17"/>
  <c r="M1518" i="7"/>
  <c r="E1518" i="17"/>
  <c r="M1310" i="7"/>
  <c r="E1310" i="17"/>
  <c r="N1310" i="7"/>
  <c r="F1310" i="17"/>
  <c r="M69" i="7"/>
  <c r="E69" i="17"/>
  <c r="N69" i="7"/>
  <c r="F69" i="17"/>
  <c r="M962" i="7"/>
  <c r="E962" i="17"/>
  <c r="N962" i="7"/>
  <c r="F962" i="17"/>
  <c r="N1369" i="7"/>
  <c r="F1369" i="17"/>
  <c r="M1369" i="7"/>
  <c r="E1369" i="17"/>
  <c r="M1511" i="7"/>
  <c r="E1511" i="17"/>
  <c r="N1511" i="7"/>
  <c r="F1511" i="17"/>
  <c r="M267" i="7"/>
  <c r="E267" i="17"/>
  <c r="N267" i="7"/>
  <c r="F267" i="17"/>
  <c r="N1220" i="7"/>
  <c r="F1220" i="17"/>
  <c r="M1220" i="7"/>
  <c r="E1220" i="17"/>
  <c r="N34" i="7"/>
  <c r="F34" i="17"/>
  <c r="M34" i="7"/>
  <c r="E34" i="17"/>
  <c r="M649" i="7"/>
  <c r="E649" i="17"/>
  <c r="N649" i="7"/>
  <c r="F649" i="17"/>
  <c r="N842" i="7"/>
  <c r="F842" i="17"/>
  <c r="M842" i="7"/>
  <c r="E842" i="17"/>
  <c r="N1381" i="7"/>
  <c r="F1381" i="17"/>
  <c r="M1381" i="7"/>
  <c r="E1381" i="17"/>
  <c r="N1608" i="7"/>
  <c r="F1608" i="17"/>
  <c r="M1608" i="7"/>
  <c r="E1608" i="17"/>
  <c r="E1608" i="24"/>
  <c r="M1199" i="7"/>
  <c r="E1199" i="17"/>
  <c r="N1199" i="7"/>
  <c r="F1199" i="17"/>
  <c r="N203" i="7"/>
  <c r="F203" i="17"/>
  <c r="M203" i="7"/>
  <c r="E203" i="17"/>
  <c r="E203" i="24"/>
  <c r="N884" i="7"/>
  <c r="F884" i="17"/>
  <c r="M884" i="7"/>
  <c r="E884" i="17"/>
  <c r="M1586" i="7"/>
  <c r="E1586" i="17"/>
  <c r="N1586" i="7"/>
  <c r="F1586" i="17"/>
  <c r="F1586" i="24"/>
  <c r="M325" i="7"/>
  <c r="E325" i="17"/>
  <c r="N325" i="7"/>
  <c r="F325" i="17"/>
  <c r="M563" i="7"/>
  <c r="E563" i="17"/>
  <c r="N563" i="7"/>
  <c r="F563" i="17"/>
  <c r="F563" i="24"/>
  <c r="M740" i="7"/>
  <c r="E740" i="17"/>
  <c r="N740" i="7"/>
  <c r="F740" i="17"/>
  <c r="N1200" i="7"/>
  <c r="F1200" i="17"/>
  <c r="M1200" i="7"/>
  <c r="E1200" i="17"/>
  <c r="E1200" i="24"/>
  <c r="N1356" i="7"/>
  <c r="F1356" i="17"/>
  <c r="M1356" i="7"/>
  <c r="E1356" i="17"/>
  <c r="N1232" i="7"/>
  <c r="F1232" i="17"/>
  <c r="M1232" i="7"/>
  <c r="E1232" i="17"/>
  <c r="E1232" i="24"/>
  <c r="N1296" i="7"/>
  <c r="F1296" i="17"/>
  <c r="M1296" i="7"/>
  <c r="E1296" i="17"/>
  <c r="N587" i="7"/>
  <c r="F587" i="17"/>
  <c r="M587" i="7"/>
  <c r="E587" i="17"/>
  <c r="E587" i="24"/>
  <c r="N51" i="7"/>
  <c r="F51" i="17"/>
  <c r="M51" i="7"/>
  <c r="E51" i="17"/>
  <c r="N1023" i="7"/>
  <c r="F1023" i="17"/>
  <c r="M1023" i="7"/>
  <c r="E1023" i="17"/>
  <c r="E1023" i="24"/>
  <c r="N1262" i="7"/>
  <c r="F1262" i="17"/>
  <c r="M1262" i="7"/>
  <c r="E1262" i="17"/>
  <c r="N1520" i="7"/>
  <c r="F1520" i="17"/>
  <c r="M1520" i="7"/>
  <c r="E1520" i="17"/>
  <c r="E1520" i="24"/>
  <c r="M1431" i="7"/>
  <c r="E1431" i="17"/>
  <c r="N1431" i="7"/>
  <c r="F1431" i="17"/>
  <c r="M1474" i="7"/>
  <c r="E1474" i="17"/>
  <c r="N1474" i="7"/>
  <c r="F1474" i="17"/>
  <c r="F1474" i="24"/>
  <c r="N1157" i="7"/>
  <c r="F1157" i="17"/>
  <c r="M1157" i="7"/>
  <c r="E1157" i="17"/>
  <c r="M28" i="7"/>
  <c r="E28" i="17"/>
  <c r="N28" i="7"/>
  <c r="F28" i="17"/>
  <c r="F28" i="24"/>
  <c r="N978" i="7"/>
  <c r="F978" i="17"/>
  <c r="M978" i="7"/>
  <c r="E978" i="17"/>
  <c r="M581" i="7"/>
  <c r="E581" i="17"/>
  <c r="N581" i="7"/>
  <c r="F581" i="17"/>
  <c r="F581" i="24"/>
  <c r="M775" i="7"/>
  <c r="E775" i="17"/>
  <c r="N775" i="7"/>
  <c r="F775" i="17"/>
  <c r="N748" i="7"/>
  <c r="F748" i="17"/>
  <c r="M748" i="7"/>
  <c r="E748" i="17"/>
  <c r="E748" i="24"/>
  <c r="M55" i="7"/>
  <c r="E55" i="17"/>
  <c r="N55" i="7"/>
  <c r="F55" i="17"/>
  <c r="M1521" i="7"/>
  <c r="E1521" i="17"/>
  <c r="N1521" i="7"/>
  <c r="F1521" i="17"/>
  <c r="F1521" i="24"/>
  <c r="N1420" i="7"/>
  <c r="F1420" i="17"/>
  <c r="M1420" i="7"/>
  <c r="E1420" i="17"/>
  <c r="M1363" i="7"/>
  <c r="E1363" i="17"/>
  <c r="N1363" i="7"/>
  <c r="F1363" i="17"/>
  <c r="F1363" i="24"/>
  <c r="M789" i="7"/>
  <c r="E789" i="17"/>
  <c r="N789" i="7"/>
  <c r="F789" i="17"/>
  <c r="M1480" i="7"/>
  <c r="E1480" i="17"/>
  <c r="N1480" i="7"/>
  <c r="F1480" i="17"/>
  <c r="F1480" i="24"/>
  <c r="N833" i="7"/>
  <c r="F833" i="17"/>
  <c r="M833" i="7"/>
  <c r="E833" i="17"/>
  <c r="N1519" i="7"/>
  <c r="F1519" i="17"/>
  <c r="M1519" i="7"/>
  <c r="E1519" i="17"/>
  <c r="E1519" i="24"/>
  <c r="N1061" i="7"/>
  <c r="F1061" i="17"/>
  <c r="M1061" i="7"/>
  <c r="E1061" i="17"/>
  <c r="M816" i="7"/>
  <c r="E816" i="17"/>
  <c r="N816" i="7"/>
  <c r="F816" i="17"/>
  <c r="F816" i="24"/>
  <c r="N1365" i="7"/>
  <c r="F1365" i="17"/>
  <c r="M1365" i="7"/>
  <c r="E1365" i="17"/>
  <c r="N1136" i="7"/>
  <c r="F1136" i="17"/>
  <c r="M1136" i="7"/>
  <c r="E1136" i="17"/>
  <c r="E1136" i="24"/>
  <c r="N289" i="7"/>
  <c r="F289" i="17"/>
  <c r="M289" i="7"/>
  <c r="E289" i="17"/>
  <c r="M362" i="7"/>
  <c r="E362" i="17"/>
  <c r="N362" i="7"/>
  <c r="F362" i="17"/>
  <c r="F362" i="24"/>
  <c r="M1063" i="7"/>
  <c r="E1063" i="17"/>
  <c r="N1063" i="7"/>
  <c r="F1063" i="17"/>
  <c r="N1451" i="7"/>
  <c r="F1451" i="17"/>
  <c r="M1451" i="7"/>
  <c r="E1451" i="17"/>
  <c r="E1451" i="24"/>
  <c r="N37" i="7"/>
  <c r="F37" i="17"/>
  <c r="M37" i="7"/>
  <c r="E37" i="17"/>
  <c r="M496" i="7"/>
  <c r="E496" i="17"/>
  <c r="N496" i="7"/>
  <c r="F496" i="17"/>
  <c r="F496" i="24"/>
  <c r="N324" i="7"/>
  <c r="F324" i="17"/>
  <c r="M324" i="7"/>
  <c r="E324" i="17"/>
  <c r="M1498" i="7"/>
  <c r="E1498" i="17"/>
  <c r="N1498" i="7"/>
  <c r="F1498" i="17"/>
  <c r="F1498" i="24"/>
  <c r="N771" i="7"/>
  <c r="F771" i="17"/>
  <c r="M771" i="7"/>
  <c r="E771" i="17"/>
  <c r="N275" i="7"/>
  <c r="F275" i="17"/>
  <c r="M275" i="7"/>
  <c r="E275" i="17"/>
  <c r="E275" i="24"/>
  <c r="M1201" i="7"/>
  <c r="E1201" i="17"/>
  <c r="N1201" i="7"/>
  <c r="F1201" i="17"/>
  <c r="N1032" i="7"/>
  <c r="F1032" i="17"/>
  <c r="M1032" i="7"/>
  <c r="E1032" i="17"/>
  <c r="E1032" i="24"/>
  <c r="N1486" i="7"/>
  <c r="F1486" i="17"/>
  <c r="M1486" i="7"/>
  <c r="E1486" i="17"/>
  <c r="M460" i="7"/>
  <c r="E460" i="17"/>
  <c r="N460" i="7"/>
  <c r="F460" i="17"/>
  <c r="F460" i="24"/>
  <c r="M360" i="7"/>
  <c r="E360" i="17"/>
  <c r="N360" i="7"/>
  <c r="F360" i="17"/>
  <c r="N1244" i="7"/>
  <c r="F1244" i="17"/>
  <c r="M1244" i="7"/>
  <c r="E1244" i="17"/>
  <c r="E1244" i="24"/>
  <c r="N980" i="7"/>
  <c r="F980" i="17"/>
  <c r="M980" i="7"/>
  <c r="E980" i="17"/>
  <c r="N108" i="7"/>
  <c r="F108" i="17"/>
  <c r="M108" i="7"/>
  <c r="E108" i="17"/>
  <c r="E108" i="24"/>
  <c r="M777" i="7"/>
  <c r="E777" i="17"/>
  <c r="N777" i="7"/>
  <c r="F777" i="17"/>
  <c r="M804" i="7"/>
  <c r="E804" i="17"/>
  <c r="N804" i="7"/>
  <c r="F804" i="17"/>
  <c r="F804" i="24"/>
  <c r="M785" i="7"/>
  <c r="E785" i="17"/>
  <c r="N785" i="7"/>
  <c r="F785" i="17"/>
  <c r="M1399" i="7"/>
  <c r="N1399" i="7"/>
  <c r="N875" i="7"/>
  <c r="F875" i="17"/>
  <c r="M875" i="7"/>
  <c r="E875" i="17"/>
  <c r="N800" i="7"/>
  <c r="F800" i="17"/>
  <c r="M800" i="7"/>
  <c r="E800" i="17"/>
  <c r="E800" i="24"/>
  <c r="M1072" i="7"/>
  <c r="E1072" i="17"/>
  <c r="N1072" i="7"/>
  <c r="F1072" i="17"/>
  <c r="M976" i="7"/>
  <c r="E976" i="17"/>
  <c r="N976" i="7"/>
  <c r="F976" i="17"/>
  <c r="F976" i="24"/>
  <c r="M387" i="7"/>
  <c r="E387" i="17"/>
  <c r="N387" i="7"/>
  <c r="F387" i="17"/>
  <c r="N888" i="7"/>
  <c r="F888" i="17"/>
  <c r="M888" i="7"/>
  <c r="E888" i="17"/>
  <c r="E888" i="24"/>
  <c r="N1017" i="7"/>
  <c r="F1017" i="17"/>
  <c r="M1017" i="7"/>
  <c r="E1017" i="17"/>
  <c r="M547" i="7"/>
  <c r="E547" i="17"/>
  <c r="N547" i="7"/>
  <c r="F547" i="17"/>
  <c r="F547" i="24"/>
  <c r="N1457" i="7"/>
  <c r="F1457" i="17"/>
  <c r="M1457" i="7"/>
  <c r="E1457" i="17"/>
  <c r="N1452" i="7"/>
  <c r="F1452" i="17"/>
  <c r="M1452" i="7"/>
  <c r="E1452" i="17"/>
  <c r="E1452" i="24"/>
  <c r="N790" i="7"/>
  <c r="F790" i="17"/>
  <c r="M790" i="7"/>
  <c r="E790" i="17"/>
  <c r="M127" i="7"/>
  <c r="E127" i="17"/>
  <c r="N127" i="7"/>
  <c r="F127" i="17"/>
  <c r="F127" i="24"/>
  <c r="M874" i="7"/>
  <c r="E874" i="17"/>
  <c r="N874" i="7"/>
  <c r="F874" i="17"/>
  <c r="M383" i="7"/>
  <c r="E383" i="17"/>
  <c r="N383" i="7"/>
  <c r="F383" i="17"/>
  <c r="F383" i="24"/>
  <c r="M861" i="7"/>
  <c r="E861" i="17"/>
  <c r="N861" i="7"/>
  <c r="F861" i="17"/>
  <c r="M640" i="7"/>
  <c r="E640" i="17"/>
  <c r="N640" i="7"/>
  <c r="F640" i="17"/>
  <c r="F640" i="24"/>
  <c r="N1563" i="7"/>
  <c r="F1563" i="17"/>
  <c r="M1563" i="7"/>
  <c r="E1563" i="17"/>
  <c r="M813" i="7"/>
  <c r="E813" i="17"/>
  <c r="N813" i="7"/>
  <c r="F813" i="17"/>
  <c r="F813" i="24"/>
  <c r="N1025" i="7"/>
  <c r="F1025" i="17"/>
  <c r="M1025" i="7"/>
  <c r="E1025" i="17"/>
  <c r="M1617" i="7"/>
  <c r="E1617" i="17"/>
  <c r="N1617" i="7"/>
  <c r="F1617" i="17"/>
  <c r="F1617" i="24"/>
  <c r="N1307" i="7"/>
  <c r="F1307" i="17"/>
  <c r="M1307" i="7"/>
  <c r="E1307" i="17"/>
  <c r="M434" i="7"/>
  <c r="E434" i="17"/>
  <c r="N434" i="7"/>
  <c r="F434" i="17"/>
  <c r="F434" i="24"/>
  <c r="M1629" i="7"/>
  <c r="E1629" i="17"/>
  <c r="N1629" i="7"/>
  <c r="F1629" i="17"/>
  <c r="M852" i="7"/>
  <c r="E852" i="17"/>
  <c r="N852" i="7"/>
  <c r="F852" i="17"/>
  <c r="F852" i="24"/>
  <c r="M527" i="7"/>
  <c r="E527" i="17"/>
  <c r="N527" i="7"/>
  <c r="F527" i="17"/>
  <c r="N737" i="7"/>
  <c r="F737" i="17"/>
  <c r="M737" i="7"/>
  <c r="E737" i="17"/>
  <c r="E737" i="24"/>
  <c r="M666" i="7"/>
  <c r="E666" i="17"/>
  <c r="N666" i="7"/>
  <c r="F666" i="17"/>
  <c r="M1203" i="7"/>
  <c r="E1203" i="17"/>
  <c r="N1203" i="7"/>
  <c r="F1203" i="17"/>
  <c r="F1203" i="24"/>
  <c r="M1580" i="7"/>
  <c r="E1580" i="17"/>
  <c r="N1580" i="7"/>
  <c r="F1580" i="17"/>
  <c r="M703" i="7"/>
  <c r="E703" i="17"/>
  <c r="N703" i="7"/>
  <c r="F703" i="17"/>
  <c r="F703" i="24"/>
  <c r="M487" i="7"/>
  <c r="E487" i="17"/>
  <c r="N487" i="7"/>
  <c r="F487" i="17"/>
  <c r="M1004" i="7"/>
  <c r="E1004" i="17"/>
  <c r="N1004" i="7"/>
  <c r="F1004" i="17"/>
  <c r="F1004" i="24"/>
  <c r="N453" i="7"/>
  <c r="F453" i="17"/>
  <c r="M453" i="7"/>
  <c r="E453" i="17"/>
  <c r="M1415" i="7"/>
  <c r="E1415" i="17"/>
  <c r="N1415" i="7"/>
  <c r="F1415" i="17"/>
  <c r="F1415" i="24"/>
  <c r="M1081" i="7"/>
  <c r="N1081" i="7"/>
  <c r="M91" i="7"/>
  <c r="E91" i="17"/>
  <c r="N91" i="7"/>
  <c r="F91" i="17"/>
  <c r="F91" i="24"/>
  <c r="N1131" i="7"/>
  <c r="F1131" i="17"/>
  <c r="M1131" i="7"/>
  <c r="E1131" i="17"/>
  <c r="N1158" i="7"/>
  <c r="F1158" i="17"/>
  <c r="M1158" i="7"/>
  <c r="E1158" i="17"/>
  <c r="E1158" i="24"/>
  <c r="M1322" i="7"/>
  <c r="E1322" i="17"/>
  <c r="N1322" i="7"/>
  <c r="F1322" i="17"/>
  <c r="M50" i="7"/>
  <c r="E50" i="17"/>
  <c r="N50" i="7"/>
  <c r="F50" i="17"/>
  <c r="F50" i="24"/>
  <c r="N1095" i="7"/>
  <c r="F1095" i="17"/>
  <c r="M1095" i="7"/>
  <c r="E1095" i="17"/>
  <c r="M1566" i="7"/>
  <c r="E1566" i="17"/>
  <c r="N1566" i="7"/>
  <c r="F1566" i="17"/>
  <c r="F1566" i="24"/>
  <c r="N1492" i="7"/>
  <c r="F1492" i="17"/>
  <c r="M1492" i="7"/>
  <c r="E1492" i="17"/>
  <c r="M973" i="7"/>
  <c r="E973" i="17"/>
  <c r="N973" i="7"/>
  <c r="F973" i="17"/>
  <c r="F973" i="24"/>
  <c r="N934" i="7"/>
  <c r="F934" i="17"/>
  <c r="M934" i="7"/>
  <c r="E934" i="17"/>
  <c r="M608" i="7"/>
  <c r="E608" i="17"/>
  <c r="N608" i="7"/>
  <c r="F608" i="17"/>
  <c r="F608" i="24"/>
  <c r="N1164" i="7"/>
  <c r="F1164" i="17"/>
  <c r="M1164" i="7"/>
  <c r="E1164" i="17"/>
  <c r="N1291" i="7"/>
  <c r="F1291" i="17"/>
  <c r="M1291" i="7"/>
  <c r="E1291" i="17"/>
  <c r="E1291" i="24"/>
  <c r="M48" i="7"/>
  <c r="E48" i="17"/>
  <c r="N48" i="7"/>
  <c r="F48" i="17"/>
  <c r="M953" i="7"/>
  <c r="E953" i="17"/>
  <c r="N953" i="7"/>
  <c r="F953" i="17"/>
  <c r="F953" i="24"/>
  <c r="M137" i="7"/>
  <c r="E137" i="17"/>
  <c r="N137" i="7"/>
  <c r="F137" i="17"/>
  <c r="N70" i="7"/>
  <c r="F70" i="17"/>
  <c r="M70" i="7"/>
  <c r="E70" i="17"/>
  <c r="E70" i="24"/>
  <c r="M1328" i="7"/>
  <c r="E1328" i="17"/>
  <c r="N1328" i="7"/>
  <c r="F1328" i="17"/>
  <c r="N392" i="7"/>
  <c r="F392" i="17"/>
  <c r="M392" i="7"/>
  <c r="E392" i="17"/>
  <c r="E392" i="24"/>
  <c r="M574" i="7"/>
  <c r="E574" i="17"/>
  <c r="N574" i="7"/>
  <c r="F574" i="17"/>
  <c r="M1616" i="7"/>
  <c r="E1616" i="17"/>
  <c r="N1616" i="7"/>
  <c r="F1616" i="17"/>
  <c r="F1616" i="24"/>
  <c r="N99" i="7"/>
  <c r="F99" i="17"/>
  <c r="M99" i="7"/>
  <c r="E99" i="17"/>
  <c r="N1414" i="7"/>
  <c r="F1414" i="17"/>
  <c r="M1414" i="7"/>
  <c r="E1414" i="17"/>
  <c r="E1414" i="24"/>
  <c r="N939" i="7"/>
  <c r="F939" i="17"/>
  <c r="M939" i="7"/>
  <c r="E939" i="17"/>
  <c r="N1382" i="7"/>
  <c r="F1382" i="17"/>
  <c r="M1382" i="7"/>
  <c r="E1382" i="17"/>
  <c r="E1382" i="24"/>
  <c r="N503" i="7"/>
  <c r="F503" i="17"/>
  <c r="M503" i="7"/>
  <c r="E503" i="17"/>
  <c r="M332" i="7"/>
  <c r="E332" i="17"/>
  <c r="N332" i="7"/>
  <c r="F332" i="17"/>
  <c r="F332" i="24"/>
  <c r="N323" i="7"/>
  <c r="F323" i="17"/>
  <c r="M323" i="7"/>
  <c r="E323" i="17"/>
  <c r="N1068" i="7"/>
  <c r="F1068" i="17"/>
  <c r="M1068" i="7"/>
  <c r="E1068" i="17"/>
  <c r="E1068" i="24"/>
  <c r="N162" i="7"/>
  <c r="F162" i="17"/>
  <c r="M162" i="7"/>
  <c r="E162" i="17"/>
  <c r="M562" i="7"/>
  <c r="E562" i="17"/>
  <c r="N562" i="7"/>
  <c r="F562" i="17"/>
  <c r="F562" i="24"/>
  <c r="N73" i="7"/>
  <c r="F73" i="17"/>
  <c r="M73" i="7"/>
  <c r="E73" i="17"/>
  <c r="M1530" i="7"/>
  <c r="E1530" i="17"/>
  <c r="N1530" i="7"/>
  <c r="F1530" i="17"/>
  <c r="F1530" i="24"/>
  <c r="M1117" i="7"/>
  <c r="E1117" i="17"/>
  <c r="N1117" i="7"/>
  <c r="F1117" i="17"/>
  <c r="M1635" i="7"/>
  <c r="E1635" i="17"/>
  <c r="N1635" i="7"/>
  <c r="F1635" i="17"/>
  <c r="F1635" i="24"/>
  <c r="N901" i="7"/>
  <c r="F901" i="17"/>
  <c r="M901" i="7"/>
  <c r="E901" i="17"/>
  <c r="M825" i="7"/>
  <c r="E825" i="17"/>
  <c r="N825" i="7"/>
  <c r="F825" i="17"/>
  <c r="F825" i="24"/>
  <c r="N281" i="7"/>
  <c r="F281" i="17"/>
  <c r="M281" i="7"/>
  <c r="E281" i="17"/>
  <c r="N1375" i="7"/>
  <c r="F1375" i="17"/>
  <c r="M1375" i="7"/>
  <c r="E1375" i="17"/>
  <c r="E1375" i="24"/>
  <c r="M958" i="7"/>
  <c r="E958" i="17"/>
  <c r="N958" i="7"/>
  <c r="F958" i="17"/>
  <c r="N1546" i="7"/>
  <c r="F1546" i="17"/>
  <c r="M1546" i="7"/>
  <c r="E1546" i="17"/>
  <c r="E1546" i="24"/>
  <c r="M1049" i="7"/>
  <c r="E1049" i="17"/>
  <c r="N1049" i="7"/>
  <c r="F1049" i="17"/>
  <c r="M180" i="7"/>
  <c r="E180" i="17"/>
  <c r="N180" i="7"/>
  <c r="F180" i="17"/>
  <c r="F180" i="24"/>
  <c r="N696" i="7"/>
  <c r="F696" i="17"/>
  <c r="M696" i="7"/>
  <c r="E696" i="17"/>
  <c r="N969" i="7"/>
  <c r="F969" i="17"/>
  <c r="M969" i="7"/>
  <c r="E969" i="17"/>
  <c r="E969" i="24"/>
  <c r="M1434" i="7"/>
  <c r="E1434" i="17"/>
  <c r="N1434" i="7"/>
  <c r="F1434" i="17"/>
  <c r="M544" i="7"/>
  <c r="E544" i="17"/>
  <c r="N544" i="7"/>
  <c r="F544" i="17"/>
  <c r="F544" i="24"/>
  <c r="M92" i="7"/>
  <c r="E92" i="17"/>
  <c r="N92" i="7"/>
  <c r="F92" i="17"/>
  <c r="M569" i="7"/>
  <c r="E569" i="17"/>
  <c r="N569" i="7"/>
  <c r="F569" i="17"/>
  <c r="F569" i="24"/>
  <c r="N1292" i="7"/>
  <c r="F1292" i="17"/>
  <c r="M1292" i="7"/>
  <c r="E1292" i="17"/>
  <c r="N452" i="7"/>
  <c r="F452" i="17"/>
  <c r="M452" i="7"/>
  <c r="E452" i="17"/>
  <c r="E452" i="24"/>
  <c r="M986" i="7"/>
  <c r="E986" i="17"/>
  <c r="N986" i="7"/>
  <c r="F986" i="17"/>
  <c r="M723" i="7"/>
  <c r="E723" i="17"/>
  <c r="N723" i="7"/>
  <c r="F723" i="17"/>
  <c r="F723" i="24"/>
  <c r="N1372" i="7"/>
  <c r="F1372" i="17"/>
  <c r="M1372" i="7"/>
  <c r="E1372" i="17"/>
  <c r="N1050" i="7"/>
  <c r="F1050" i="17"/>
  <c r="M1050" i="7"/>
  <c r="E1050" i="17"/>
  <c r="E1050" i="24"/>
  <c r="M1333" i="7"/>
  <c r="E1333" i="17"/>
  <c r="N1333" i="7"/>
  <c r="F1333" i="17"/>
  <c r="N1069" i="7"/>
  <c r="F1069" i="17"/>
  <c r="M1069" i="7"/>
  <c r="E1069" i="17"/>
  <c r="E1069" i="24"/>
  <c r="N1097" i="7"/>
  <c r="F1097" i="17"/>
  <c r="M1097" i="7"/>
  <c r="E1097" i="17"/>
  <c r="M1132" i="7"/>
  <c r="E1132" i="17"/>
  <c r="N1132" i="7"/>
  <c r="F1132" i="17"/>
  <c r="F1132" i="24"/>
  <c r="N1174" i="7"/>
  <c r="F1174" i="17"/>
  <c r="M1174" i="7"/>
  <c r="E1174" i="17"/>
  <c r="M1401" i="7"/>
  <c r="E1401" i="17"/>
  <c r="N1401" i="7"/>
  <c r="F1401" i="17"/>
  <c r="F1401" i="24"/>
  <c r="F1398" i="24"/>
  <c r="N475" i="7"/>
  <c r="F475" i="17"/>
  <c r="M475" i="7"/>
  <c r="E475" i="17"/>
  <c r="M159" i="7"/>
  <c r="E159" i="17"/>
  <c r="N159" i="7"/>
  <c r="F159" i="17"/>
  <c r="F159" i="24"/>
  <c r="N894" i="7"/>
  <c r="F894" i="17"/>
  <c r="M894" i="7"/>
  <c r="E894" i="17"/>
  <c r="M254" i="7"/>
  <c r="E254" i="17"/>
  <c r="N254" i="7"/>
  <c r="F254" i="17"/>
  <c r="F254" i="24"/>
  <c r="N435" i="7"/>
  <c r="F435" i="17"/>
  <c r="M435" i="7"/>
  <c r="E435" i="17"/>
  <c r="M1254" i="7"/>
  <c r="E1254" i="17"/>
  <c r="N1254" i="7"/>
  <c r="F1254" i="17"/>
  <c r="F1254" i="24"/>
  <c r="N1238" i="7"/>
  <c r="F1238" i="17"/>
  <c r="M1238" i="7"/>
  <c r="E1238" i="17"/>
  <c r="M424" i="7"/>
  <c r="E424" i="17"/>
  <c r="N424" i="7"/>
  <c r="F424" i="17"/>
  <c r="F424" i="24"/>
  <c r="N326" i="7"/>
  <c r="F326" i="17"/>
  <c r="M326" i="7"/>
  <c r="E326" i="17"/>
  <c r="N65" i="7"/>
  <c r="F65" i="17"/>
  <c r="M65" i="7"/>
  <c r="E65" i="17"/>
  <c r="E65" i="24"/>
  <c r="N247" i="7"/>
  <c r="F247" i="17"/>
  <c r="M247" i="7"/>
  <c r="E247" i="17"/>
  <c r="M858" i="7"/>
  <c r="E858" i="17"/>
  <c r="N858" i="7"/>
  <c r="F858" i="17"/>
  <c r="F858" i="24"/>
  <c r="M1491" i="7"/>
  <c r="E1491" i="17"/>
  <c r="N1491" i="7"/>
  <c r="F1491" i="17"/>
  <c r="N1065" i="7"/>
  <c r="F1065" i="17"/>
  <c r="M1065" i="7"/>
  <c r="E1065" i="17"/>
  <c r="E1065" i="24"/>
  <c r="M987" i="7"/>
  <c r="E987" i="17"/>
  <c r="N987" i="7"/>
  <c r="F987" i="17"/>
  <c r="N1654" i="7"/>
  <c r="F1654" i="17"/>
  <c r="M1654" i="7"/>
  <c r="E1654" i="17"/>
  <c r="E1654" i="24"/>
  <c r="N461" i="7"/>
  <c r="F461" i="17"/>
  <c r="M461" i="7"/>
  <c r="E461" i="17"/>
  <c r="N801" i="7"/>
  <c r="F801" i="17"/>
  <c r="M801" i="7"/>
  <c r="E801" i="17"/>
  <c r="E801" i="24"/>
  <c r="M1182" i="7"/>
  <c r="E1182" i="17"/>
  <c r="N1182" i="7"/>
  <c r="F1182" i="17"/>
  <c r="M1084" i="7"/>
  <c r="E1084" i="17"/>
  <c r="N1084" i="7"/>
  <c r="F1084" i="17"/>
  <c r="F1084" i="24"/>
  <c r="M1176" i="7"/>
  <c r="E1176" i="17"/>
  <c r="N1176" i="7"/>
  <c r="F1176" i="17"/>
  <c r="M1045" i="7"/>
  <c r="E1045" i="17"/>
  <c r="N1045" i="7"/>
  <c r="F1045" i="17"/>
  <c r="F1045" i="24"/>
  <c r="M680" i="7"/>
  <c r="E680" i="17"/>
  <c r="N680" i="7"/>
  <c r="F680" i="17"/>
  <c r="N356" i="7"/>
  <c r="F356" i="17"/>
  <c r="M356" i="7"/>
  <c r="E356" i="17"/>
  <c r="E356" i="24"/>
  <c r="M158" i="7"/>
  <c r="E158" i="17"/>
  <c r="N158" i="7"/>
  <c r="F158" i="17"/>
  <c r="M257" i="7"/>
  <c r="E257" i="17"/>
  <c r="N257" i="7"/>
  <c r="F257" i="17"/>
  <c r="F257" i="24"/>
  <c r="N945" i="7"/>
  <c r="F945" i="17"/>
  <c r="M945" i="7"/>
  <c r="E945" i="17"/>
  <c r="M412" i="7"/>
  <c r="E412" i="17"/>
  <c r="N412" i="7"/>
  <c r="F412" i="17"/>
  <c r="F412" i="24"/>
  <c r="N165" i="7"/>
  <c r="F165" i="17"/>
  <c r="M165" i="7"/>
  <c r="E165" i="17"/>
  <c r="M1482" i="7"/>
  <c r="E1482" i="17"/>
  <c r="N1482" i="7"/>
  <c r="F1482" i="17"/>
  <c r="F1482" i="24"/>
  <c r="N658" i="7"/>
  <c r="F658" i="17"/>
  <c r="M658" i="7"/>
  <c r="E658" i="17"/>
  <c r="N1304" i="7"/>
  <c r="F1304" i="17"/>
  <c r="M1304" i="7"/>
  <c r="E1304" i="17"/>
  <c r="E1304" i="24"/>
  <c r="N212" i="7"/>
  <c r="F212" i="17"/>
  <c r="M212" i="7"/>
  <c r="E212" i="17"/>
  <c r="N436" i="7"/>
  <c r="F436" i="17"/>
  <c r="M436" i="7"/>
  <c r="E436" i="17"/>
  <c r="E436" i="24"/>
  <c r="N1313" i="7"/>
  <c r="F1313" i="17"/>
  <c r="M1313" i="7"/>
  <c r="E1313" i="17"/>
  <c r="N553" i="7"/>
  <c r="F553" i="17"/>
  <c r="M553" i="7"/>
  <c r="E553" i="17"/>
  <c r="E553" i="24"/>
  <c r="N1100" i="7"/>
  <c r="F1100" i="17"/>
  <c r="M1100" i="7"/>
  <c r="E1100" i="17"/>
  <c r="N932" i="7"/>
  <c r="F932" i="17"/>
  <c r="M932" i="7"/>
  <c r="E932" i="17"/>
  <c r="E932" i="24"/>
  <c r="M379" i="7"/>
  <c r="E379" i="17"/>
  <c r="N379" i="7"/>
  <c r="F379" i="17"/>
  <c r="N196" i="7"/>
  <c r="F196" i="17"/>
  <c r="M196" i="7"/>
  <c r="E196" i="17"/>
  <c r="E196" i="24"/>
  <c r="M206" i="7"/>
  <c r="E206" i="17"/>
  <c r="N206" i="7"/>
  <c r="F206" i="17"/>
  <c r="N1589" i="7"/>
  <c r="F1589" i="17"/>
  <c r="M1589" i="7"/>
  <c r="E1589" i="17"/>
  <c r="E1589" i="24"/>
  <c r="N468" i="7"/>
  <c r="F468" i="17"/>
  <c r="M468" i="7"/>
  <c r="E468" i="17"/>
  <c r="M1427" i="7"/>
  <c r="E1427" i="17"/>
  <c r="N1427" i="7"/>
  <c r="F1427" i="17"/>
  <c r="F1427" i="24"/>
  <c r="M1553" i="7"/>
  <c r="E1553" i="17"/>
  <c r="N1553" i="7"/>
  <c r="F1553" i="17"/>
  <c r="N1302" i="7"/>
  <c r="F1302" i="17"/>
  <c r="M1302" i="7"/>
  <c r="E1302" i="17"/>
  <c r="E1302" i="24"/>
  <c r="N1305" i="7"/>
  <c r="F1305" i="17"/>
  <c r="M1305" i="7"/>
  <c r="E1305" i="17"/>
  <c r="N352" i="7"/>
  <c r="F352" i="17"/>
  <c r="M352" i="7"/>
  <c r="E352" i="17"/>
  <c r="E352" i="24"/>
  <c r="M1481" i="7"/>
  <c r="E1481" i="17"/>
  <c r="N1481" i="7"/>
  <c r="F1481" i="17"/>
  <c r="M125" i="7"/>
  <c r="E125" i="17"/>
  <c r="N125" i="7"/>
  <c r="F125" i="17"/>
  <c r="F125" i="24"/>
  <c r="N1156" i="7"/>
  <c r="F1156" i="17"/>
  <c r="M1156" i="7"/>
  <c r="E1156" i="17"/>
  <c r="M788" i="7"/>
  <c r="E788" i="17"/>
  <c r="N788" i="7"/>
  <c r="F788" i="17"/>
  <c r="F788" i="24"/>
  <c r="N1099" i="7"/>
  <c r="F1099" i="17"/>
  <c r="M1099" i="7"/>
  <c r="E1099" i="17"/>
  <c r="M506" i="7"/>
  <c r="E506" i="17"/>
  <c r="N506" i="7"/>
  <c r="F506" i="17"/>
  <c r="F506" i="24"/>
  <c r="N792" i="7"/>
  <c r="F792" i="17"/>
  <c r="M792" i="7"/>
  <c r="E792" i="17"/>
  <c r="M414" i="7"/>
  <c r="E414" i="17"/>
  <c r="N414" i="7"/>
  <c r="F414" i="17"/>
  <c r="F414" i="24"/>
  <c r="N153" i="7"/>
  <c r="F153" i="17"/>
  <c r="M153" i="7"/>
  <c r="E153" i="17"/>
  <c r="N1127" i="7"/>
  <c r="F1127" i="17"/>
  <c r="M1127" i="7"/>
  <c r="E1127" i="17"/>
  <c r="E1127" i="24"/>
  <c r="M1517" i="7"/>
  <c r="E1517" i="17"/>
  <c r="N1517" i="7"/>
  <c r="F1517" i="17"/>
  <c r="N823" i="7"/>
  <c r="F823" i="17"/>
  <c r="M823" i="7"/>
  <c r="E823" i="17"/>
  <c r="E823" i="24"/>
  <c r="M739" i="7"/>
  <c r="E739" i="17"/>
  <c r="N739" i="7"/>
  <c r="F739" i="17"/>
  <c r="N1542" i="7"/>
  <c r="F1542" i="17"/>
  <c r="M1542" i="7"/>
  <c r="E1542" i="17"/>
  <c r="E1542" i="24"/>
  <c r="M59" i="7"/>
  <c r="E59" i="17"/>
  <c r="N59" i="7"/>
  <c r="F59" i="17"/>
  <c r="N236" i="7"/>
  <c r="F236" i="17"/>
  <c r="M236" i="7"/>
  <c r="E236" i="17"/>
  <c r="E236" i="24"/>
  <c r="N1590" i="7"/>
  <c r="F1590" i="17"/>
  <c r="M1590" i="7"/>
  <c r="E1590" i="17"/>
  <c r="N917" i="7"/>
  <c r="F917" i="17"/>
  <c r="M917" i="7"/>
  <c r="E917" i="17"/>
  <c r="E917" i="24"/>
  <c r="M223" i="7"/>
  <c r="E223" i="17"/>
  <c r="N223" i="7"/>
  <c r="F223" i="17"/>
  <c r="N423" i="7"/>
  <c r="F423" i="17"/>
  <c r="M423" i="7"/>
  <c r="E423" i="17"/>
  <c r="E423" i="24"/>
  <c r="N1251" i="7"/>
  <c r="F1251" i="17"/>
  <c r="M1251" i="7"/>
  <c r="E1251" i="17"/>
  <c r="N736" i="7"/>
  <c r="F736" i="17"/>
  <c r="M736" i="7"/>
  <c r="E736" i="17"/>
  <c r="E736" i="24"/>
  <c r="M1241" i="7"/>
  <c r="E1241" i="17"/>
  <c r="N1241" i="7"/>
  <c r="F1241" i="17"/>
  <c r="M1195" i="7"/>
  <c r="E1195" i="17"/>
  <c r="N1195" i="7"/>
  <c r="F1195" i="17"/>
  <c r="F1195" i="24"/>
  <c r="M1613" i="7"/>
  <c r="E1613" i="17"/>
  <c r="N1613" i="7"/>
  <c r="F1613" i="17"/>
  <c r="N1190" i="7"/>
  <c r="F1190" i="17"/>
  <c r="M1190" i="7"/>
  <c r="E1190" i="17"/>
  <c r="E1190" i="24"/>
  <c r="N1418" i="7"/>
  <c r="F1418" i="17"/>
  <c r="M1418" i="7"/>
  <c r="E1418" i="17"/>
  <c r="N152" i="7"/>
  <c r="F152" i="17"/>
  <c r="M152" i="7"/>
  <c r="E152" i="17"/>
  <c r="E152" i="24"/>
  <c r="M988" i="7"/>
  <c r="E988" i="17"/>
  <c r="N988" i="7"/>
  <c r="F988" i="17"/>
  <c r="N1306" i="7"/>
  <c r="F1306" i="17"/>
  <c r="M1306" i="7"/>
  <c r="E1306" i="17"/>
  <c r="E1306" i="24"/>
  <c r="M1377" i="7"/>
  <c r="E1377" i="17"/>
  <c r="N1377" i="7"/>
  <c r="F1377" i="17"/>
  <c r="M499" i="7"/>
  <c r="E499" i="17"/>
  <c r="N499" i="7"/>
  <c r="F499" i="17"/>
  <c r="F499" i="24"/>
  <c r="N307" i="7"/>
  <c r="F307" i="17"/>
  <c r="M307" i="7"/>
  <c r="E307" i="17"/>
  <c r="N1469" i="7"/>
  <c r="F1469" i="17"/>
  <c r="M1469" i="7"/>
  <c r="E1469" i="17"/>
  <c r="E1469" i="24"/>
  <c r="M1231" i="7"/>
  <c r="E1231" i="17"/>
  <c r="N1231" i="7"/>
  <c r="F1231" i="17"/>
  <c r="M120" i="7"/>
  <c r="E120" i="17"/>
  <c r="N120" i="7"/>
  <c r="F120" i="17"/>
  <c r="F120" i="24"/>
  <c r="N1407" i="7"/>
  <c r="F1407" i="17"/>
  <c r="M1407" i="7"/>
  <c r="E1407" i="17"/>
  <c r="M1603" i="7"/>
  <c r="E1603" i="17"/>
  <c r="N1603" i="7"/>
  <c r="F1603" i="17"/>
  <c r="F1603" i="24"/>
  <c r="M583" i="7"/>
  <c r="E583" i="17"/>
  <c r="N583" i="7"/>
  <c r="F583" i="17"/>
  <c r="M1515" i="7"/>
  <c r="E1515" i="17"/>
  <c r="N1515" i="7"/>
  <c r="F1515" i="17"/>
  <c r="F1515" i="24"/>
  <c r="N1327" i="7"/>
  <c r="F1327" i="17"/>
  <c r="M1327" i="7"/>
  <c r="E1327" i="17"/>
  <c r="M277" i="7"/>
  <c r="E277" i="17"/>
  <c r="N277" i="7"/>
  <c r="F277" i="17"/>
  <c r="F277" i="24"/>
  <c r="M1196" i="7"/>
  <c r="E1196" i="17"/>
  <c r="N1196" i="7"/>
  <c r="F1196" i="17"/>
  <c r="N1034" i="7"/>
  <c r="F1034" i="17"/>
  <c r="M1034" i="7"/>
  <c r="E1034" i="17"/>
  <c r="E1034" i="24"/>
  <c r="N1234" i="7"/>
  <c r="F1234" i="17"/>
  <c r="M1234" i="7"/>
  <c r="E1234" i="17"/>
  <c r="M1651" i="7"/>
  <c r="E1651" i="17"/>
  <c r="N1651" i="7"/>
  <c r="F1651" i="17"/>
  <c r="F1651" i="24"/>
  <c r="N250" i="7"/>
  <c r="F250" i="17"/>
  <c r="M250" i="7"/>
  <c r="E250" i="17"/>
  <c r="N256" i="7"/>
  <c r="F256" i="17"/>
  <c r="M256" i="7"/>
  <c r="E256" i="17"/>
  <c r="E256" i="24"/>
  <c r="M1390" i="7"/>
  <c r="E1390" i="17"/>
  <c r="N1390" i="7"/>
  <c r="F1390" i="17"/>
  <c r="M25" i="7"/>
  <c r="E25" i="17"/>
  <c r="N25" i="7"/>
  <c r="F25" i="17"/>
  <c r="F25" i="24"/>
  <c r="N485" i="7"/>
  <c r="F485" i="17"/>
  <c r="M485" i="7"/>
  <c r="E485" i="17"/>
  <c r="N1035" i="7"/>
  <c r="F1035" i="17"/>
  <c r="M1035" i="7"/>
  <c r="E1035" i="17"/>
  <c r="E1035" i="24"/>
  <c r="N661" i="7"/>
  <c r="F661" i="17"/>
  <c r="M661" i="7"/>
  <c r="E661" i="17"/>
  <c r="M957" i="7"/>
  <c r="E957" i="17"/>
  <c r="N957" i="7"/>
  <c r="F957" i="17"/>
  <c r="F957" i="24"/>
  <c r="M643" i="7"/>
  <c r="E643" i="17"/>
  <c r="N643" i="7"/>
  <c r="F643" i="17"/>
  <c r="M1311" i="7"/>
  <c r="E1311" i="17"/>
  <c r="N1311" i="7"/>
  <c r="F1311" i="17"/>
  <c r="F1311" i="24"/>
  <c r="M1027" i="7"/>
  <c r="E1027" i="17"/>
  <c r="N1027" i="7"/>
  <c r="F1027" i="17"/>
  <c r="M652" i="7"/>
  <c r="E652" i="17"/>
  <c r="N652" i="7"/>
  <c r="F652" i="17"/>
  <c r="F652" i="24"/>
  <c r="N282" i="7"/>
  <c r="F282" i="17"/>
  <c r="M282" i="7"/>
  <c r="E282" i="17"/>
  <c r="M1178" i="7"/>
  <c r="E1178" i="17"/>
  <c r="N1178" i="7"/>
  <c r="F1178" i="17"/>
  <c r="F1178" i="24"/>
  <c r="M1331" i="7"/>
  <c r="E1331" i="17"/>
  <c r="N1331" i="7"/>
  <c r="F1331" i="17"/>
  <c r="M578" i="7"/>
  <c r="E578" i="17"/>
  <c r="N578" i="7"/>
  <c r="F578" i="17"/>
  <c r="F578" i="24"/>
  <c r="M721" i="7"/>
  <c r="E721" i="17"/>
  <c r="N721" i="7"/>
  <c r="F721" i="17"/>
  <c r="N279" i="7"/>
  <c r="F279" i="17"/>
  <c r="M279" i="7"/>
  <c r="E279" i="17"/>
  <c r="E279" i="24"/>
  <c r="M1638" i="7"/>
  <c r="E1638" i="17"/>
  <c r="N1638" i="7"/>
  <c r="F1638" i="17"/>
  <c r="N480" i="7"/>
  <c r="F480" i="17"/>
  <c r="M480" i="7"/>
  <c r="E480" i="17"/>
  <c r="E480" i="24"/>
  <c r="M531" i="7"/>
  <c r="E531" i="17"/>
  <c r="N531" i="7"/>
  <c r="F531" i="17"/>
  <c r="M1513" i="7"/>
  <c r="E1513" i="17"/>
  <c r="N1513" i="7"/>
  <c r="F1513" i="17"/>
  <c r="F1513" i="24"/>
  <c r="N1591" i="7"/>
  <c r="F1591" i="17"/>
  <c r="M1591" i="7"/>
  <c r="E1591" i="17"/>
  <c r="M571" i="7"/>
  <c r="E571" i="17"/>
  <c r="N571" i="7"/>
  <c r="F571" i="17"/>
  <c r="F571" i="24"/>
  <c r="N603" i="7"/>
  <c r="F603" i="17"/>
  <c r="M603" i="7"/>
  <c r="E603" i="17"/>
  <c r="M1252" i="7"/>
  <c r="E1252" i="17"/>
  <c r="N1252" i="7"/>
  <c r="F1252" i="17"/>
  <c r="F1252" i="24"/>
  <c r="M386" i="7"/>
  <c r="E386" i="17"/>
  <c r="N386" i="7"/>
  <c r="F386" i="17"/>
  <c r="M855" i="7"/>
  <c r="E855" i="17"/>
  <c r="N855" i="7"/>
  <c r="F855" i="17"/>
  <c r="F855" i="24"/>
  <c r="M1354" i="7"/>
  <c r="E1354" i="17"/>
  <c r="N1354" i="7"/>
  <c r="F1354" i="17"/>
  <c r="N1098" i="7"/>
  <c r="F1098" i="17"/>
  <c r="M1098" i="7"/>
  <c r="E1098" i="17"/>
  <c r="E1098" i="24"/>
  <c r="N1540" i="7"/>
  <c r="M1540" i="7"/>
  <c r="N1404" i="7"/>
  <c r="F1404" i="17"/>
  <c r="M1404" i="7"/>
  <c r="E1404" i="17"/>
  <c r="E1404" i="24"/>
  <c r="M1308" i="7"/>
  <c r="E1308" i="17"/>
  <c r="N1308" i="7"/>
  <c r="F1308" i="17"/>
  <c r="M853" i="7"/>
  <c r="E853" i="17"/>
  <c r="N853" i="7"/>
  <c r="F853" i="17"/>
  <c r="F853" i="24"/>
  <c r="N484" i="7"/>
  <c r="F484" i="17"/>
  <c r="M484" i="7"/>
  <c r="E484" i="17"/>
  <c r="N391" i="7"/>
  <c r="F391" i="17"/>
  <c r="M391" i="7"/>
  <c r="E391" i="17"/>
  <c r="E391" i="24"/>
  <c r="N1003" i="7"/>
  <c r="F1003" i="17"/>
  <c r="M1003" i="7"/>
  <c r="E1003" i="17"/>
  <c r="N891" i="7"/>
  <c r="F891" i="17"/>
  <c r="M891" i="7"/>
  <c r="E891" i="17"/>
  <c r="E891" i="24"/>
  <c r="M1455" i="7"/>
  <c r="E1455" i="17"/>
  <c r="N1455" i="7"/>
  <c r="F1455" i="17"/>
  <c r="N713" i="7"/>
  <c r="F713" i="17"/>
  <c r="M713" i="7"/>
  <c r="E713" i="17"/>
  <c r="E713" i="24"/>
  <c r="M787" i="7"/>
  <c r="E787" i="17"/>
  <c r="N787" i="7"/>
  <c r="F787" i="17"/>
  <c r="M1255" i="7"/>
  <c r="E1255" i="17"/>
  <c r="N1255" i="7"/>
  <c r="F1255" i="17"/>
  <c r="F1255" i="24"/>
  <c r="N1111" i="7"/>
  <c r="F1111" i="17"/>
  <c r="M1111" i="7"/>
  <c r="E1111" i="17"/>
  <c r="M898" i="7"/>
  <c r="E898" i="17"/>
  <c r="N898" i="7"/>
  <c r="F898" i="17"/>
  <c r="F898" i="24"/>
  <c r="M1575" i="7"/>
  <c r="E1575" i="17"/>
  <c r="N1575" i="7"/>
  <c r="F1575" i="17"/>
  <c r="M1652" i="7"/>
  <c r="E1652" i="17"/>
  <c r="N1652" i="7"/>
  <c r="F1652" i="17"/>
  <c r="F1652" i="24"/>
  <c r="N1602" i="7"/>
  <c r="F1602" i="17"/>
  <c r="M1602" i="7"/>
  <c r="E1602" i="17"/>
  <c r="N1245" i="7"/>
  <c r="F1245" i="17"/>
  <c r="M1245" i="7"/>
  <c r="E1245" i="17"/>
  <c r="E1245" i="24"/>
  <c r="N433" i="7"/>
  <c r="F433" i="17"/>
  <c r="M433" i="7"/>
  <c r="E433" i="17"/>
  <c r="N408" i="7"/>
  <c r="F408" i="17"/>
  <c r="M408" i="7"/>
  <c r="E408" i="17"/>
  <c r="E408" i="24"/>
  <c r="M971" i="7"/>
  <c r="E971" i="17"/>
  <c r="N971" i="7"/>
  <c r="F971" i="17"/>
  <c r="N201" i="7"/>
  <c r="F201" i="17"/>
  <c r="M201" i="7"/>
  <c r="E201" i="17"/>
  <c r="E201" i="24"/>
  <c r="N170" i="7"/>
  <c r="F170" i="17"/>
  <c r="M170" i="7"/>
  <c r="E170" i="17"/>
  <c r="N699" i="7"/>
  <c r="F699" i="17"/>
  <c r="M699" i="7"/>
  <c r="E699" i="17"/>
  <c r="E699" i="24"/>
  <c r="M413" i="7"/>
  <c r="E413" i="17"/>
  <c r="N413" i="7"/>
  <c r="F413" i="17"/>
  <c r="N458" i="7"/>
  <c r="F458" i="17"/>
  <c r="M458" i="7"/>
  <c r="E458" i="17"/>
  <c r="E458" i="24"/>
  <c r="N330" i="7"/>
  <c r="F330" i="17"/>
  <c r="M330" i="7"/>
  <c r="E330" i="17"/>
  <c r="N961" i="7"/>
  <c r="F961" i="17"/>
  <c r="M961" i="7"/>
  <c r="E961" i="17"/>
  <c r="E961" i="24"/>
  <c r="N1419" i="7"/>
  <c r="F1419" i="17"/>
  <c r="M1419" i="7"/>
  <c r="E1419" i="17"/>
  <c r="M388" i="7"/>
  <c r="E388" i="17"/>
  <c r="N388" i="7"/>
  <c r="F388" i="17"/>
  <c r="F388" i="24"/>
  <c r="M620" i="7"/>
  <c r="E620" i="17"/>
  <c r="N620" i="7"/>
  <c r="F620" i="17"/>
  <c r="N701" i="7"/>
  <c r="F701" i="17"/>
  <c r="M701" i="7"/>
  <c r="E701" i="17"/>
  <c r="E701" i="24"/>
  <c r="M1607" i="7"/>
  <c r="E1607" i="17"/>
  <c r="N1607" i="7"/>
  <c r="F1607" i="17"/>
  <c r="N1057" i="7"/>
  <c r="F1057" i="17"/>
  <c r="M1057" i="7"/>
  <c r="E1057" i="17"/>
  <c r="E1057" i="24"/>
  <c r="M320" i="7"/>
  <c r="E320" i="17"/>
  <c r="N320" i="7"/>
  <c r="F320" i="17"/>
  <c r="N886" i="7"/>
  <c r="F886" i="17"/>
  <c r="M886" i="7"/>
  <c r="E886" i="17"/>
  <c r="E886" i="24"/>
  <c r="M1242" i="7"/>
  <c r="E1242" i="17"/>
  <c r="N1242" i="7"/>
  <c r="F1242" i="17"/>
  <c r="M824" i="7"/>
  <c r="E824" i="17"/>
  <c r="N824" i="7"/>
  <c r="F824" i="17"/>
  <c r="F824" i="24"/>
  <c r="N161" i="7"/>
  <c r="F161" i="17"/>
  <c r="M161" i="7"/>
  <c r="E161" i="17"/>
  <c r="M1194" i="7"/>
  <c r="E1194" i="17"/>
  <c r="N1194" i="7"/>
  <c r="F1194" i="17"/>
  <c r="F1194" i="24"/>
  <c r="M1472" i="7"/>
  <c r="E1472" i="17"/>
  <c r="N1472" i="7"/>
  <c r="F1472" i="17"/>
  <c r="M1168" i="7"/>
  <c r="E1168" i="17"/>
  <c r="N1168" i="7"/>
  <c r="F1168" i="17"/>
  <c r="F1168" i="24"/>
  <c r="M75" i="7"/>
  <c r="E75" i="17"/>
  <c r="N75" i="7"/>
  <c r="F75" i="17"/>
  <c r="N677" i="7"/>
  <c r="F677" i="17"/>
  <c r="M677" i="7"/>
  <c r="E677" i="17"/>
  <c r="E677" i="24"/>
  <c r="N280" i="7"/>
  <c r="F280" i="17"/>
  <c r="M280" i="7"/>
  <c r="E280" i="17"/>
  <c r="M194" i="7"/>
  <c r="E194" i="17"/>
  <c r="N194" i="7"/>
  <c r="F194" i="17"/>
  <c r="F194" i="24"/>
  <c r="M1417" i="7"/>
  <c r="E1417" i="17"/>
  <c r="N1417" i="7"/>
  <c r="F1417" i="17"/>
  <c r="N136" i="7"/>
  <c r="F136" i="17"/>
  <c r="M136" i="7"/>
  <c r="E136" i="17"/>
  <c r="E136" i="24"/>
  <c r="N1163" i="7"/>
  <c r="F1163" i="17"/>
  <c r="M1163" i="7"/>
  <c r="E1163" i="17"/>
  <c r="M274" i="7"/>
  <c r="E274" i="17"/>
  <c r="N274" i="7"/>
  <c r="F274" i="17"/>
  <c r="F274" i="24"/>
  <c r="N995" i="7"/>
  <c r="F995" i="17"/>
  <c r="M995" i="7"/>
  <c r="E995" i="17"/>
  <c r="N1471" i="7"/>
  <c r="F1471" i="17"/>
  <c r="M1471" i="7"/>
  <c r="E1471" i="17"/>
  <c r="E1471" i="24"/>
  <c r="M1258" i="7"/>
  <c r="E1258" i="17"/>
  <c r="N1258" i="7"/>
  <c r="F1258" i="17"/>
  <c r="N944" i="7"/>
  <c r="F944" i="17"/>
  <c r="M944" i="7"/>
  <c r="E944" i="17"/>
  <c r="E944" i="24"/>
  <c r="M1413" i="7"/>
  <c r="E1413" i="17"/>
  <c r="N1413" i="7"/>
  <c r="F1413" i="17"/>
  <c r="M882" i="7"/>
  <c r="E882" i="17"/>
  <c r="N882" i="7"/>
  <c r="F882" i="17"/>
  <c r="F882" i="24"/>
  <c r="N322" i="7"/>
  <c r="F322" i="17"/>
  <c r="M322" i="7"/>
  <c r="E322" i="17"/>
  <c r="M100" i="7"/>
  <c r="E100" i="17"/>
  <c r="N100" i="7"/>
  <c r="F100" i="17"/>
  <c r="F100" i="24"/>
  <c r="N1585" i="7"/>
  <c r="F1585" i="17"/>
  <c r="M1585" i="7"/>
  <c r="E1585" i="17"/>
  <c r="N1435" i="7"/>
  <c r="F1435" i="17"/>
  <c r="M1435" i="7"/>
  <c r="E1435" i="17"/>
  <c r="E1435" i="24"/>
  <c r="M573" i="7"/>
  <c r="E573" i="17"/>
  <c r="N573" i="7"/>
  <c r="F573" i="17"/>
  <c r="N956" i="7"/>
  <c r="F956" i="17"/>
  <c r="M956" i="7"/>
  <c r="E956" i="17"/>
  <c r="E956" i="24"/>
  <c r="N139" i="7"/>
  <c r="F139" i="17"/>
  <c r="M139" i="7"/>
  <c r="E139" i="17"/>
  <c r="M473" i="7"/>
  <c r="E473" i="17"/>
  <c r="N473" i="7"/>
  <c r="F473" i="17"/>
  <c r="F473" i="24"/>
  <c r="M633" i="7"/>
  <c r="E633" i="17"/>
  <c r="N633" i="7"/>
  <c r="F633" i="17"/>
  <c r="M1094" i="7"/>
  <c r="E1094" i="17"/>
  <c r="N1094" i="7"/>
  <c r="F1094" i="17"/>
  <c r="F1094" i="24"/>
  <c r="M1567" i="7"/>
  <c r="E1567" i="17"/>
  <c r="N1567" i="7"/>
  <c r="F1567" i="17"/>
  <c r="N166" i="7"/>
  <c r="F166" i="17"/>
  <c r="M166" i="7"/>
  <c r="E166" i="17"/>
  <c r="E166" i="24"/>
  <c r="N940" i="7"/>
  <c r="F940" i="17"/>
  <c r="M940" i="7"/>
  <c r="E940" i="17"/>
  <c r="M1558" i="7"/>
  <c r="E1558" i="17"/>
  <c r="N1558" i="7"/>
  <c r="F1558" i="17"/>
  <c r="F1558" i="24"/>
  <c r="N930" i="7"/>
  <c r="F930" i="17"/>
  <c r="M930" i="7"/>
  <c r="E930" i="17"/>
  <c r="N1358" i="7"/>
  <c r="F1358" i="17"/>
  <c r="M1358" i="7"/>
  <c r="E1358" i="17"/>
  <c r="E1358" i="24"/>
  <c r="M1649" i="7"/>
  <c r="E1649" i="17"/>
  <c r="N1649" i="7"/>
  <c r="F1649" i="17"/>
  <c r="M535" i="7"/>
  <c r="E535" i="17"/>
  <c r="N535" i="7"/>
  <c r="F535" i="17"/>
  <c r="F535" i="24"/>
  <c r="M107" i="7"/>
  <c r="E107" i="17"/>
  <c r="N107" i="7"/>
  <c r="F107" i="17"/>
  <c r="M718" i="7"/>
  <c r="E718" i="17"/>
  <c r="N718" i="7"/>
  <c r="F718" i="17"/>
  <c r="F718" i="24"/>
  <c r="N1042" i="7"/>
  <c r="F1042" i="17"/>
  <c r="M1042" i="7"/>
  <c r="E1042" i="17"/>
  <c r="N464" i="7"/>
  <c r="F464" i="17"/>
  <c r="M464" i="7"/>
  <c r="E464" i="17"/>
  <c r="E464" i="24"/>
  <c r="N1101" i="7"/>
  <c r="F1101" i="17"/>
  <c r="M1101" i="7"/>
  <c r="E1101" i="17"/>
  <c r="N984" i="7"/>
  <c r="F984" i="17"/>
  <c r="M984" i="7"/>
  <c r="E984" i="17"/>
  <c r="E984" i="24"/>
  <c r="N1510" i="7"/>
  <c r="F1510" i="17"/>
  <c r="M1510" i="7"/>
  <c r="E1510" i="17"/>
  <c r="M1053" i="7"/>
  <c r="E1053" i="17"/>
  <c r="N1053" i="7"/>
  <c r="F1053" i="17"/>
  <c r="F1053" i="24"/>
  <c r="N1386" i="7"/>
  <c r="F1386" i="17"/>
  <c r="M1386" i="7"/>
  <c r="E1386" i="17"/>
  <c r="M840" i="7"/>
  <c r="E840" i="17"/>
  <c r="N840" i="7"/>
  <c r="F840" i="17"/>
  <c r="F840" i="24"/>
  <c r="M929" i="7"/>
  <c r="E929" i="17"/>
  <c r="N929" i="7"/>
  <c r="F929" i="17"/>
  <c r="N104" i="7"/>
  <c r="F104" i="17"/>
  <c r="M104" i="7"/>
  <c r="E104" i="17"/>
  <c r="E104" i="24"/>
  <c r="M752" i="7"/>
  <c r="E752" i="17"/>
  <c r="N752" i="7"/>
  <c r="F752" i="17"/>
  <c r="N26" i="7"/>
  <c r="F26" i="17"/>
  <c r="M26" i="7"/>
  <c r="E26" i="17"/>
  <c r="E26" i="24"/>
  <c r="M1189" i="7"/>
  <c r="E1189" i="17"/>
  <c r="N1189" i="7"/>
  <c r="F1189" i="17"/>
  <c r="M954" i="7"/>
  <c r="E954" i="17"/>
  <c r="N954" i="7"/>
  <c r="F954" i="17"/>
  <c r="F954" i="24"/>
  <c r="N1655" i="7"/>
  <c r="F1655" i="17"/>
  <c r="M1655" i="7"/>
  <c r="E1655" i="17"/>
  <c r="M919" i="7"/>
  <c r="E919" i="17"/>
  <c r="N919" i="7"/>
  <c r="F919" i="17"/>
  <c r="F919" i="24"/>
  <c r="N1264" i="7"/>
  <c r="F1264" i="17"/>
  <c r="M1264" i="7"/>
  <c r="E1264" i="17"/>
  <c r="M1423" i="7"/>
  <c r="E1423" i="17"/>
  <c r="N1423" i="7"/>
  <c r="F1423" i="17"/>
  <c r="F1423" i="24"/>
  <c r="M625" i="7"/>
  <c r="E625" i="17"/>
  <c r="N625" i="7"/>
  <c r="F625" i="17"/>
  <c r="N1048" i="7"/>
  <c r="F1048" i="17"/>
  <c r="M1048" i="7"/>
  <c r="E1048" i="17"/>
  <c r="E1048" i="24"/>
  <c r="M1172" i="7"/>
  <c r="E1172" i="17"/>
  <c r="N1172" i="7"/>
  <c r="F1172" i="17"/>
  <c r="N29" i="7"/>
  <c r="F29" i="17"/>
  <c r="M29" i="7"/>
  <c r="E29" i="17"/>
  <c r="E29" i="24"/>
  <c r="N719" i="7"/>
  <c r="F719" i="17"/>
  <c r="M719" i="7"/>
  <c r="E719" i="17"/>
  <c r="M1453" i="7"/>
  <c r="E1453" i="17"/>
  <c r="N1453" i="7"/>
  <c r="F1453" i="17"/>
  <c r="F1453" i="24"/>
  <c r="N1561" i="7"/>
  <c r="F1561" i="17"/>
  <c r="M1561" i="7"/>
  <c r="E1561" i="17"/>
  <c r="N1637" i="7"/>
  <c r="F1637" i="17"/>
  <c r="M1637" i="7"/>
  <c r="E1637" i="17"/>
  <c r="E1637" i="24"/>
  <c r="N471" i="7"/>
  <c r="F471" i="17"/>
  <c r="M471" i="7"/>
  <c r="E471" i="17"/>
  <c r="N528" i="7"/>
  <c r="F528" i="17"/>
  <c r="M528" i="7"/>
  <c r="E528" i="17"/>
  <c r="E528" i="24"/>
  <c r="M996" i="7"/>
  <c r="E996" i="17"/>
  <c r="N996" i="7"/>
  <c r="F996" i="17"/>
  <c r="M936" i="7"/>
  <c r="E936" i="17"/>
  <c r="N936" i="7"/>
  <c r="F936" i="17"/>
  <c r="F936" i="24"/>
  <c r="N1588" i="7"/>
  <c r="F1588" i="17"/>
  <c r="M1588" i="7"/>
  <c r="E1588" i="17"/>
  <c r="M1187" i="7"/>
  <c r="E1187" i="17"/>
  <c r="N1187" i="7"/>
  <c r="F1187" i="17"/>
  <c r="F1187" i="24"/>
  <c r="M450" i="7"/>
  <c r="E450" i="17"/>
  <c r="N450" i="7"/>
  <c r="F450" i="17"/>
  <c r="N915" i="7"/>
  <c r="F915" i="17"/>
  <c r="M915" i="7"/>
  <c r="E915" i="17"/>
  <c r="E915" i="24"/>
  <c r="M688" i="7"/>
  <c r="E688" i="17"/>
  <c r="N688" i="7"/>
  <c r="F688" i="17"/>
  <c r="M1373" i="7"/>
  <c r="E1373" i="17"/>
  <c r="N1373" i="7"/>
  <c r="F1373" i="17"/>
  <c r="F1373" i="24"/>
  <c r="N1325" i="7"/>
  <c r="F1325" i="17"/>
  <c r="M1325" i="7"/>
  <c r="E1325" i="17"/>
  <c r="N47" i="7"/>
  <c r="F47" i="17"/>
  <c r="M47" i="7"/>
  <c r="E47" i="17"/>
  <c r="E47" i="24"/>
  <c r="N745" i="7"/>
  <c r="F745" i="17"/>
  <c r="M745" i="7"/>
  <c r="E745" i="17"/>
  <c r="M135" i="7"/>
  <c r="E135" i="17"/>
  <c r="N135" i="7"/>
  <c r="F135" i="17"/>
  <c r="F135" i="24"/>
  <c r="N1125" i="7"/>
  <c r="F1125" i="17"/>
  <c r="M1125" i="7"/>
  <c r="E1125" i="17"/>
  <c r="M1297" i="7"/>
  <c r="E1297" i="17"/>
  <c r="N1297" i="7"/>
  <c r="F1297" i="17"/>
  <c r="F1297" i="24"/>
  <c r="M109" i="7"/>
  <c r="E109" i="17"/>
  <c r="N109" i="7"/>
  <c r="F109" i="17"/>
  <c r="N130" i="7"/>
  <c r="F130" i="17"/>
  <c r="M130" i="7"/>
  <c r="E130" i="17"/>
  <c r="E130" i="24"/>
  <c r="M1083" i="7"/>
  <c r="E1083" i="17"/>
  <c r="N1083" i="7"/>
  <c r="F1083" i="17"/>
  <c r="M90" i="7"/>
  <c r="E90" i="17"/>
  <c r="N90" i="7"/>
  <c r="F90" i="17"/>
  <c r="F90" i="24"/>
  <c r="M1370" i="7"/>
  <c r="E1370" i="17"/>
  <c r="N1370" i="7"/>
  <c r="F1370" i="17"/>
  <c r="N965" i="7"/>
  <c r="F965" i="17"/>
  <c r="M965" i="7"/>
  <c r="E965" i="17"/>
  <c r="E965" i="24"/>
  <c r="N462" i="7"/>
  <c r="F462" i="17"/>
  <c r="M462" i="7"/>
  <c r="E462" i="17"/>
  <c r="N889" i="7"/>
  <c r="F889" i="17"/>
  <c r="M889" i="7"/>
  <c r="E889" i="17"/>
  <c r="E889" i="24"/>
  <c r="N604" i="7"/>
  <c r="F604" i="17"/>
  <c r="M604" i="7"/>
  <c r="E604" i="17"/>
  <c r="M1448" i="7"/>
  <c r="E1448" i="17"/>
  <c r="N1448" i="7"/>
  <c r="F1448" i="17"/>
  <c r="F1448" i="24"/>
  <c r="M233" i="7"/>
  <c r="E233" i="17"/>
  <c r="N233" i="7"/>
  <c r="F233" i="17"/>
  <c r="N495" i="7"/>
  <c r="F495" i="17"/>
  <c r="M495" i="7"/>
  <c r="E495" i="17"/>
  <c r="E495" i="24"/>
  <c r="M1223" i="7"/>
  <c r="E1223" i="17"/>
  <c r="N1223" i="7"/>
  <c r="F1223" i="17"/>
  <c r="N1503" i="7"/>
  <c r="F1503" i="17"/>
  <c r="M1503" i="7"/>
  <c r="E1503" i="17"/>
  <c r="E1503" i="24"/>
  <c r="N1294" i="7"/>
  <c r="F1294" i="17"/>
  <c r="M1294" i="7"/>
  <c r="E1294" i="17"/>
  <c r="M1261" i="7"/>
  <c r="E1261" i="17"/>
  <c r="N1261" i="7"/>
  <c r="F1261" i="17"/>
  <c r="F1261" i="24"/>
  <c r="N328" i="7"/>
  <c r="F328" i="17"/>
  <c r="M328" i="7"/>
  <c r="E328" i="17"/>
  <c r="M1545" i="7"/>
  <c r="E1545" i="17"/>
  <c r="N1545" i="7"/>
  <c r="F1545" i="17"/>
  <c r="F1545" i="24"/>
  <c r="F1539" i="24"/>
  <c r="M1248" i="7"/>
  <c r="E1248" i="17"/>
  <c r="N1248" i="7"/>
  <c r="F1248" i="17"/>
  <c r="M43" i="7"/>
  <c r="E43" i="17"/>
  <c r="N43" i="7"/>
  <c r="F43" i="17"/>
  <c r="F43" i="24"/>
  <c r="M926" i="7"/>
  <c r="E926" i="17"/>
  <c r="N926" i="7"/>
  <c r="F926" i="17"/>
  <c r="N684" i="7"/>
  <c r="F684" i="17"/>
  <c r="M684" i="7"/>
  <c r="E684" i="17"/>
  <c r="E684" i="24"/>
  <c r="M160" i="7"/>
  <c r="E160" i="17"/>
  <c r="N160" i="7"/>
  <c r="F160" i="17"/>
  <c r="N1376" i="7"/>
  <c r="F1376" i="17"/>
  <c r="M1376" i="7"/>
  <c r="E1376" i="17"/>
  <c r="E1376" i="24"/>
  <c r="M600" i="7"/>
  <c r="E600" i="17"/>
  <c r="N600" i="7"/>
  <c r="F600" i="17"/>
  <c r="M467" i="7"/>
  <c r="E467" i="17"/>
  <c r="N467" i="7"/>
  <c r="F467" i="17"/>
  <c r="F467" i="24"/>
  <c r="N1169" i="7"/>
  <c r="F1169" i="17"/>
  <c r="M1169" i="7"/>
  <c r="E1169" i="17"/>
  <c r="N1222" i="7"/>
  <c r="F1222" i="17"/>
  <c r="M1222" i="7"/>
  <c r="E1222" i="17"/>
  <c r="E1222" i="24"/>
  <c r="M733" i="7"/>
  <c r="N733" i="7"/>
  <c r="M644" i="7"/>
  <c r="E644" i="17"/>
  <c r="N644" i="7"/>
  <c r="F644" i="17"/>
  <c r="F644" i="24"/>
  <c r="M1259" i="7"/>
  <c r="E1259" i="17"/>
  <c r="N1259" i="7"/>
  <c r="F1259" i="17"/>
  <c r="N1437" i="7"/>
  <c r="F1437" i="17"/>
  <c r="M1437" i="7"/>
  <c r="E1437" i="17"/>
  <c r="E1437" i="24"/>
  <c r="N881" i="7"/>
  <c r="F881" i="17"/>
  <c r="M881" i="7"/>
  <c r="E881" i="17"/>
  <c r="M122" i="7"/>
  <c r="E122" i="17"/>
  <c r="N122" i="7"/>
  <c r="F122" i="17"/>
  <c r="F122" i="24"/>
  <c r="N966" i="7"/>
  <c r="F966" i="17"/>
  <c r="M966" i="7"/>
  <c r="E966" i="17"/>
  <c r="N514" i="7"/>
  <c r="F514" i="17"/>
  <c r="M514" i="7"/>
  <c r="E514" i="17"/>
  <c r="E514" i="24"/>
  <c r="N95" i="7"/>
  <c r="F95" i="17"/>
  <c r="M95" i="7"/>
  <c r="E95" i="17"/>
  <c r="N979" i="7"/>
  <c r="F979" i="17"/>
  <c r="M979" i="7"/>
  <c r="E979" i="17"/>
  <c r="E979" i="24"/>
  <c r="N1525" i="7"/>
  <c r="F1525" i="17"/>
  <c r="M1525" i="7"/>
  <c r="E1525" i="17"/>
  <c r="M1180" i="7"/>
  <c r="E1180" i="17"/>
  <c r="N1180" i="7"/>
  <c r="F1180" i="17"/>
  <c r="F1180" i="24"/>
  <c r="N398" i="7"/>
  <c r="F398" i="17"/>
  <c r="M398" i="7"/>
  <c r="E398" i="17"/>
  <c r="N1571" i="7"/>
  <c r="F1571" i="17"/>
  <c r="M1571" i="7"/>
  <c r="E1571" i="17"/>
  <c r="E1571" i="24"/>
  <c r="M222" i="7"/>
  <c r="E222" i="17"/>
  <c r="N222" i="7"/>
  <c r="F222" i="17"/>
  <c r="N1456" i="7"/>
  <c r="F1456" i="17"/>
  <c r="M1456" i="7"/>
  <c r="E1456" i="17"/>
  <c r="E1456" i="24"/>
  <c r="N488" i="7"/>
  <c r="F488" i="17"/>
  <c r="M488" i="7"/>
  <c r="E488" i="17"/>
  <c r="N636" i="7"/>
  <c r="F636" i="17"/>
  <c r="M636" i="7"/>
  <c r="E636" i="17"/>
  <c r="E636" i="24"/>
  <c r="M1108" i="7"/>
  <c r="E1108" i="17"/>
  <c r="N1108" i="7"/>
  <c r="F1108" i="17"/>
  <c r="M409" i="7"/>
  <c r="E409" i="17"/>
  <c r="N409" i="7"/>
  <c r="F409" i="17"/>
  <c r="F409" i="24"/>
  <c r="N949" i="7"/>
  <c r="F949" i="17"/>
  <c r="M949" i="7"/>
  <c r="E949" i="17"/>
  <c r="M799" i="7"/>
  <c r="E799" i="17"/>
  <c r="N799" i="7"/>
  <c r="F799" i="17"/>
  <c r="F799" i="24"/>
  <c r="N224" i="7"/>
  <c r="F224" i="17"/>
  <c r="M224" i="7"/>
  <c r="E224" i="17"/>
  <c r="M61" i="7"/>
  <c r="E61" i="17"/>
  <c r="N61" i="7"/>
  <c r="F61" i="17"/>
  <c r="F61" i="24"/>
  <c r="M1044" i="7"/>
  <c r="E1044" i="17"/>
  <c r="N1044" i="7"/>
  <c r="F1044" i="17"/>
  <c r="M693" i="7"/>
  <c r="E693" i="17"/>
  <c r="N693" i="7"/>
  <c r="F693" i="17"/>
  <c r="F693" i="24"/>
  <c r="N1217" i="7"/>
  <c r="F1217" i="17"/>
  <c r="M1217" i="7"/>
  <c r="E1217" i="17"/>
  <c r="N878" i="7"/>
  <c r="F878" i="17"/>
  <c r="M878" i="7"/>
  <c r="E878" i="17"/>
  <c r="E878" i="24"/>
  <c r="N779" i="7"/>
  <c r="F779" i="17"/>
  <c r="M779" i="7"/>
  <c r="E779" i="17"/>
  <c r="N1329" i="7"/>
  <c r="F1329" i="17"/>
  <c r="M1329" i="7"/>
  <c r="E1329" i="17"/>
  <c r="E1329" i="24"/>
  <c r="M928" i="7"/>
  <c r="E928" i="17"/>
  <c r="N928" i="7"/>
  <c r="F928" i="17"/>
  <c r="N916" i="7"/>
  <c r="F916" i="17"/>
  <c r="M916" i="7"/>
  <c r="E916" i="17"/>
  <c r="E916" i="24"/>
  <c r="N1143" i="7"/>
  <c r="F1143" i="17"/>
  <c r="M1143" i="7"/>
  <c r="E1143" i="17"/>
  <c r="N1626" i="7"/>
  <c r="F1626" i="17"/>
  <c r="M1626" i="7"/>
  <c r="E1626" i="17"/>
  <c r="E1626" i="24"/>
  <c r="N509" i="7"/>
  <c r="F509" i="17"/>
  <c r="M509" i="7"/>
  <c r="E509" i="17"/>
  <c r="M226" i="7"/>
  <c r="E226" i="17"/>
  <c r="N226" i="7"/>
  <c r="F226" i="17"/>
  <c r="F226" i="24"/>
  <c r="N1405" i="7"/>
  <c r="F1405" i="17"/>
  <c r="M1405" i="7"/>
  <c r="E1405" i="17"/>
  <c r="M319" i="7"/>
  <c r="E319" i="17"/>
  <c r="N319" i="7"/>
  <c r="F319" i="17"/>
  <c r="F319" i="24"/>
  <c r="N44" i="7"/>
  <c r="F44" i="17"/>
  <c r="M44" i="7"/>
  <c r="E44" i="17"/>
  <c r="M1645" i="7"/>
  <c r="E1645" i="17"/>
  <c r="N1645" i="7"/>
  <c r="F1645" i="17"/>
  <c r="F1645" i="24"/>
  <c r="M1642" i="7"/>
  <c r="E1642" i="17"/>
  <c r="N1642" i="7"/>
  <c r="F1642" i="17"/>
  <c r="M389" i="7"/>
  <c r="E389" i="17"/>
  <c r="N389" i="7"/>
  <c r="F389" i="17"/>
  <c r="F389" i="24"/>
  <c r="M542" i="7"/>
  <c r="E542" i="17"/>
  <c r="N542" i="7"/>
  <c r="F542" i="17"/>
  <c r="N345" i="7"/>
  <c r="F345" i="17"/>
  <c r="M345" i="7"/>
  <c r="E345" i="17"/>
  <c r="E345" i="24"/>
  <c r="N186" i="7"/>
  <c r="F186" i="17"/>
  <c r="M186" i="7"/>
  <c r="E186" i="17"/>
  <c r="M626" i="7"/>
  <c r="E626" i="17"/>
  <c r="N626" i="7"/>
  <c r="F626" i="17"/>
  <c r="F626" i="24"/>
  <c r="M821" i="7"/>
  <c r="E821" i="17"/>
  <c r="N821" i="7"/>
  <c r="F821" i="17"/>
  <c r="N872" i="7"/>
  <c r="F872" i="17"/>
  <c r="M872" i="7"/>
  <c r="E872" i="17"/>
  <c r="E872" i="24"/>
  <c r="N1309" i="7"/>
  <c r="F1309" i="17"/>
  <c r="M1309" i="7"/>
  <c r="E1309" i="17"/>
  <c r="N119" i="7"/>
  <c r="F119" i="17"/>
  <c r="M119" i="7"/>
  <c r="E119" i="17"/>
  <c r="E119" i="24"/>
  <c r="N273" i="7"/>
  <c r="F273" i="17"/>
  <c r="M273" i="7"/>
  <c r="E273" i="17"/>
  <c r="M1298" i="7"/>
  <c r="E1298" i="17"/>
  <c r="N1298" i="7"/>
  <c r="F1298" i="17"/>
  <c r="F1298" i="24"/>
  <c r="N826" i="7"/>
  <c r="F826" i="17"/>
  <c r="M826" i="7"/>
  <c r="E826" i="17"/>
  <c r="N1039" i="7"/>
  <c r="F1039" i="17"/>
  <c r="M1039" i="7"/>
  <c r="E1039" i="17"/>
  <c r="E1039" i="24"/>
  <c r="M1556" i="7"/>
  <c r="E1556" i="17"/>
  <c r="N1556" i="7"/>
  <c r="F1556" i="17"/>
  <c r="N950" i="7"/>
  <c r="F950" i="17"/>
  <c r="M950" i="7"/>
  <c r="E950" i="17"/>
  <c r="E950" i="24"/>
  <c r="M1041" i="7"/>
  <c r="E1041" i="17"/>
  <c r="N1041" i="7"/>
  <c r="F1041" i="17"/>
  <c r="N1565" i="7"/>
  <c r="F1565" i="17"/>
  <c r="M1565" i="7"/>
  <c r="E1565" i="17"/>
  <c r="E1565" i="24"/>
  <c r="M449" i="7"/>
  <c r="N449" i="7"/>
  <c r="N770" i="7"/>
  <c r="M770" i="7"/>
  <c r="M508" i="7"/>
  <c r="E508" i="17"/>
  <c r="N508" i="7"/>
  <c r="F508" i="17"/>
  <c r="M1349" i="7"/>
  <c r="E1349" i="17"/>
  <c r="N1349" i="7"/>
  <c r="F1349" i="17"/>
  <c r="F1349" i="24"/>
  <c r="M1634" i="7"/>
  <c r="E1634" i="17"/>
  <c r="N1634" i="7"/>
  <c r="F1634" i="17"/>
  <c r="M176" i="7"/>
  <c r="E176" i="17"/>
  <c r="N176" i="7"/>
  <c r="F176" i="17"/>
  <c r="F176" i="24"/>
  <c r="M284" i="7"/>
  <c r="E284" i="17"/>
  <c r="N284" i="7"/>
  <c r="F284" i="17"/>
  <c r="M1355" i="7"/>
  <c r="E1355" i="17"/>
  <c r="N1355" i="7"/>
  <c r="F1355" i="17"/>
  <c r="F1355" i="24"/>
  <c r="M1614" i="7"/>
  <c r="E1614" i="17"/>
  <c r="N1614" i="7"/>
  <c r="F1614" i="17"/>
  <c r="M22" i="7"/>
  <c r="E22" i="17"/>
  <c r="N22" i="7"/>
  <c r="F22" i="17"/>
  <c r="F22" i="24"/>
  <c r="N415" i="7"/>
  <c r="F415" i="17"/>
  <c r="M415" i="7"/>
  <c r="E415" i="17"/>
  <c r="M333" i="7"/>
  <c r="E333" i="17"/>
  <c r="N333" i="7"/>
  <c r="F333" i="17"/>
  <c r="F333" i="24"/>
  <c r="N657" i="7"/>
  <c r="F657" i="17"/>
  <c r="M657" i="7"/>
  <c r="E657" i="17"/>
  <c r="N402" i="7"/>
  <c r="F402" i="17"/>
  <c r="M402" i="7"/>
  <c r="E402" i="17"/>
  <c r="E402" i="24"/>
  <c r="N171" i="7"/>
  <c r="F171" i="17"/>
  <c r="M171" i="7"/>
  <c r="E171" i="17"/>
  <c r="M841" i="7"/>
  <c r="E841" i="17"/>
  <c r="N841" i="7"/>
  <c r="F841" i="17"/>
  <c r="F841" i="24"/>
  <c r="N335" i="7"/>
  <c r="F335" i="17"/>
  <c r="M335" i="7"/>
  <c r="E335" i="17"/>
  <c r="N1489" i="7"/>
  <c r="F1489" i="17"/>
  <c r="M1489" i="7"/>
  <c r="E1489" i="17"/>
  <c r="E1489" i="24"/>
  <c r="N225" i="7"/>
  <c r="F225" i="17"/>
  <c r="M225" i="7"/>
  <c r="E225" i="17"/>
  <c r="M134" i="7"/>
  <c r="E134" i="17"/>
  <c r="N134" i="7"/>
  <c r="F134" i="17"/>
  <c r="F134" i="24"/>
  <c r="N1013" i="7"/>
  <c r="M1013" i="7"/>
  <c r="N271" i="7"/>
  <c r="F271" i="17"/>
  <c r="M271" i="7"/>
  <c r="E271" i="17"/>
  <c r="E271" i="24"/>
  <c r="M1033" i="7"/>
  <c r="E1033" i="17"/>
  <c r="N1033" i="7"/>
  <c r="F1033" i="17"/>
  <c r="M1615" i="7"/>
  <c r="E1615" i="17"/>
  <c r="N1615" i="7"/>
  <c r="F1615" i="17"/>
  <c r="F1615" i="24"/>
  <c r="M1487" i="7"/>
  <c r="E1487" i="17"/>
  <c r="N1487" i="7"/>
  <c r="F1487" i="17"/>
  <c r="M1226" i="7"/>
  <c r="E1226" i="17"/>
  <c r="N1226" i="7"/>
  <c r="F1226" i="17"/>
  <c r="F1226" i="24"/>
  <c r="N856" i="7"/>
  <c r="F856" i="17"/>
  <c r="M856" i="7"/>
  <c r="E856" i="17"/>
  <c r="M1249" i="7"/>
  <c r="E1249" i="17"/>
  <c r="N1249" i="7"/>
  <c r="F1249" i="17"/>
  <c r="F1249" i="24"/>
  <c r="N93" i="7"/>
  <c r="F93" i="17"/>
  <c r="M93" i="7"/>
  <c r="E93" i="17"/>
  <c r="M287" i="7"/>
  <c r="E287" i="17"/>
  <c r="N287" i="7"/>
  <c r="F287" i="17"/>
  <c r="F287" i="24"/>
  <c r="M579" i="7"/>
  <c r="E579" i="17"/>
  <c r="N579" i="7"/>
  <c r="F579" i="17"/>
  <c r="M650" i="7"/>
  <c r="E650" i="17"/>
  <c r="N650" i="7"/>
  <c r="F650" i="17"/>
  <c r="F650" i="24"/>
  <c r="N266" i="7"/>
  <c r="F266" i="17"/>
  <c r="M266" i="7"/>
  <c r="E266" i="17"/>
  <c r="M1450" i="7"/>
  <c r="E1450" i="17"/>
  <c r="N1450" i="7"/>
  <c r="F1450" i="17"/>
  <c r="F1450" i="24"/>
  <c r="M1239" i="7"/>
  <c r="E1239" i="17"/>
  <c r="N1239" i="7"/>
  <c r="F1239" i="17"/>
  <c r="N655" i="7"/>
  <c r="F655" i="17"/>
  <c r="M655" i="7"/>
  <c r="E655" i="17"/>
  <c r="E655" i="24"/>
  <c r="N1123" i="7"/>
  <c r="F1123" i="17"/>
  <c r="M1123" i="7"/>
  <c r="E1123" i="17"/>
  <c r="N1326" i="7"/>
  <c r="F1326" i="17"/>
  <c r="M1326" i="7"/>
  <c r="E1326" i="17"/>
  <c r="E1326" i="24"/>
  <c r="N123" i="7"/>
  <c r="F123" i="17"/>
  <c r="M123" i="7"/>
  <c r="E123" i="17"/>
  <c r="M286" i="7"/>
  <c r="E286" i="17"/>
  <c r="N286" i="7"/>
  <c r="F286" i="17"/>
  <c r="F286" i="24"/>
  <c r="M1385" i="7"/>
  <c r="E1385" i="17"/>
  <c r="N1385" i="7"/>
  <c r="F1385" i="17"/>
  <c r="N651" i="7"/>
  <c r="F651" i="17"/>
  <c r="M651" i="7"/>
  <c r="E651" i="17"/>
  <c r="E651" i="24"/>
  <c r="N795" i="7"/>
  <c r="F795" i="17"/>
  <c r="M795" i="7"/>
  <c r="E795" i="17"/>
  <c r="M1022" i="7"/>
  <c r="E1022" i="17"/>
  <c r="N1022" i="7"/>
  <c r="F1022" i="17"/>
  <c r="F1022" i="24"/>
  <c r="M355" i="7"/>
  <c r="E355" i="17"/>
  <c r="N355" i="7"/>
  <c r="F355" i="17"/>
  <c r="N1133" i="7"/>
  <c r="F1133" i="17"/>
  <c r="M1133" i="7"/>
  <c r="E1133" i="17"/>
  <c r="E1133" i="24"/>
  <c r="M921" i="7"/>
  <c r="E921" i="17"/>
  <c r="N921" i="7"/>
  <c r="F921" i="17"/>
  <c r="N1188" i="7"/>
  <c r="F1188" i="17"/>
  <c r="M1188" i="7"/>
  <c r="E1188" i="17"/>
  <c r="E1188" i="24"/>
  <c r="M541" i="7"/>
  <c r="E541" i="17"/>
  <c r="N541" i="7"/>
  <c r="F541" i="17"/>
  <c r="M1330" i="7"/>
  <c r="E1330" i="17"/>
  <c r="N1330" i="7"/>
  <c r="F1330" i="17"/>
  <c r="F1330" i="24"/>
  <c r="M631" i="7"/>
  <c r="E631" i="17"/>
  <c r="N631" i="7"/>
  <c r="F631" i="17"/>
  <c r="M682" i="7"/>
  <c r="E682" i="17"/>
  <c r="N682" i="7"/>
  <c r="F682" i="17"/>
  <c r="F682" i="24"/>
  <c r="M808" i="7"/>
  <c r="E808" i="17"/>
  <c r="N808" i="7"/>
  <c r="F808" i="17"/>
  <c r="N1495" i="7"/>
  <c r="F1495" i="17"/>
  <c r="M1495" i="7"/>
  <c r="E1495" i="17"/>
  <c r="E1495" i="24"/>
  <c r="N1433" i="7"/>
  <c r="F1433" i="17"/>
  <c r="M1433" i="7"/>
  <c r="E1433" i="17"/>
  <c r="M301" i="7"/>
  <c r="E301" i="17"/>
  <c r="N301" i="7"/>
  <c r="F301" i="17"/>
  <c r="F301" i="24"/>
  <c r="M714" i="7"/>
  <c r="E714" i="17"/>
  <c r="N714" i="7"/>
  <c r="F714" i="17"/>
  <c r="M927" i="7"/>
  <c r="E927" i="17"/>
  <c r="N927" i="7"/>
  <c r="F927" i="17"/>
  <c r="F927" i="24"/>
  <c r="M217" i="7"/>
  <c r="E217" i="17"/>
  <c r="N217" i="7"/>
  <c r="F217" i="17"/>
  <c r="M1440" i="7"/>
  <c r="E1440" i="17"/>
  <c r="N1440" i="7"/>
  <c r="F1440" i="17"/>
  <c r="F1440" i="24"/>
  <c r="N797" i="7"/>
  <c r="F797" i="17"/>
  <c r="M797" i="7"/>
  <c r="E797" i="17"/>
  <c r="M1128" i="7"/>
  <c r="E1128" i="17"/>
  <c r="N1128" i="7"/>
  <c r="F1128" i="17"/>
  <c r="F1128" i="24"/>
  <c r="N602" i="7"/>
  <c r="F602" i="17"/>
  <c r="M602" i="7"/>
  <c r="E602" i="17"/>
  <c r="N192" i="7"/>
  <c r="F192" i="17"/>
  <c r="M192" i="7"/>
  <c r="E192" i="17"/>
  <c r="E192" i="24"/>
  <c r="N864" i="7"/>
  <c r="F864" i="17"/>
  <c r="M864" i="7"/>
  <c r="E864" i="17"/>
  <c r="M1493" i="7"/>
  <c r="E1493" i="17"/>
  <c r="N1493" i="7"/>
  <c r="F1493" i="17"/>
  <c r="M1096" i="7"/>
  <c r="E1096" i="17"/>
  <c r="N1096" i="7"/>
  <c r="F1096" i="17"/>
  <c r="M1218" i="7"/>
  <c r="E1218" i="17"/>
  <c r="N1218" i="7"/>
  <c r="F1218" i="17"/>
  <c r="M500" i="7"/>
  <c r="E500" i="17"/>
  <c r="N500" i="7"/>
  <c r="F500" i="17"/>
  <c r="N270" i="7"/>
  <c r="F270" i="17"/>
  <c r="M270" i="7"/>
  <c r="E270" i="17"/>
  <c r="M437" i="7"/>
  <c r="E437" i="17"/>
  <c r="N437" i="7"/>
  <c r="F437" i="17"/>
  <c r="M758" i="7"/>
  <c r="E758" i="17"/>
  <c r="N758" i="7"/>
  <c r="F758" i="17"/>
  <c r="N794" i="7"/>
  <c r="F794" i="17"/>
  <c r="M794" i="7"/>
  <c r="E794" i="17"/>
  <c r="M168" i="7"/>
  <c r="E168" i="17"/>
  <c r="N168" i="7"/>
  <c r="F168" i="17"/>
  <c r="N1293" i="7"/>
  <c r="F1293" i="17"/>
  <c r="M1293" i="7"/>
  <c r="E1293" i="17"/>
  <c r="N624" i="7"/>
  <c r="F624" i="17"/>
  <c r="M624" i="7"/>
  <c r="E624" i="17"/>
  <c r="M1062" i="7"/>
  <c r="E1062" i="17"/>
  <c r="N1062" i="7"/>
  <c r="F1062" i="17"/>
  <c r="M208" i="7"/>
  <c r="E208" i="17"/>
  <c r="N208" i="7"/>
  <c r="F208" i="17"/>
  <c r="N40" i="7"/>
  <c r="F40" i="17"/>
  <c r="M40" i="7"/>
  <c r="E40" i="17"/>
  <c r="N74" i="7"/>
  <c r="F74" i="17"/>
  <c r="M74" i="7"/>
  <c r="E74" i="17"/>
  <c r="N1494" i="7"/>
  <c r="F1494" i="17"/>
  <c r="M1494" i="7"/>
  <c r="E1494" i="17"/>
  <c r="M193" i="7"/>
  <c r="E193" i="17"/>
  <c r="N193" i="7"/>
  <c r="F193" i="17"/>
  <c r="M263" i="7"/>
  <c r="E263" i="17"/>
  <c r="N263" i="7"/>
  <c r="F263" i="17"/>
  <c r="N1290" i="7"/>
  <c r="F1290" i="17"/>
  <c r="M1290" i="7"/>
  <c r="E1290" i="17"/>
  <c r="M1408" i="7"/>
  <c r="E1408" i="17"/>
  <c r="N1408" i="7"/>
  <c r="F1408" i="17"/>
  <c r="N253" i="7"/>
  <c r="F253" i="17"/>
  <c r="M253" i="7"/>
  <c r="E253" i="17"/>
  <c r="N556" i="7"/>
  <c r="F556" i="17"/>
  <c r="M556" i="7"/>
  <c r="E556" i="17"/>
  <c r="N1524" i="7"/>
  <c r="F1524" i="17"/>
  <c r="M1524" i="7"/>
  <c r="E1524" i="17"/>
  <c r="N896" i="7"/>
  <c r="F896" i="17"/>
  <c r="M896" i="7"/>
  <c r="E896" i="17"/>
  <c r="M213" i="7"/>
  <c r="E213" i="17"/>
  <c r="N213" i="7"/>
  <c r="F213" i="17"/>
  <c r="N1352" i="7"/>
  <c r="F1352" i="17"/>
  <c r="M1352" i="7"/>
  <c r="E1352" i="17"/>
  <c r="N1411" i="7"/>
  <c r="F1411" i="17"/>
  <c r="M1411" i="7"/>
  <c r="E1411" i="17"/>
  <c r="M793" i="7"/>
  <c r="E793" i="17"/>
  <c r="N793" i="7"/>
  <c r="F793" i="17"/>
  <c r="N232" i="7"/>
  <c r="F232" i="17"/>
  <c r="M232" i="7"/>
  <c r="E232" i="17"/>
  <c r="N1112" i="7"/>
  <c r="F1112" i="17"/>
  <c r="M1112" i="7"/>
  <c r="E1112" i="17"/>
  <c r="M1019" i="7"/>
  <c r="E1019" i="17"/>
  <c r="N1019" i="7"/>
  <c r="F1019" i="17"/>
  <c r="M381" i="7"/>
  <c r="E381" i="17"/>
  <c r="N381" i="7"/>
  <c r="F381" i="17"/>
  <c r="M1142" i="7"/>
  <c r="E1142" i="17"/>
  <c r="N1142" i="7"/>
  <c r="F1142" i="17"/>
  <c r="N827" i="7"/>
  <c r="F827" i="17"/>
  <c r="M827" i="7"/>
  <c r="E827" i="17"/>
  <c r="N1467" i="7"/>
  <c r="M1467" i="7"/>
  <c r="N1155" i="7"/>
  <c r="F1155" i="17"/>
  <c r="M1155" i="7"/>
  <c r="E1155" i="17"/>
  <c r="M1643" i="7"/>
  <c r="E1643" i="17"/>
  <c r="N1643" i="7"/>
  <c r="F1643" i="17"/>
  <c r="N1526" i="7"/>
  <c r="F1526" i="17"/>
  <c r="M1526" i="7"/>
  <c r="E1526" i="17"/>
  <c r="N776" i="7"/>
  <c r="F776" i="17"/>
  <c r="M776" i="7"/>
  <c r="E776" i="17"/>
  <c r="M35" i="7"/>
  <c r="E35" i="17"/>
  <c r="N35" i="7"/>
  <c r="F35" i="17"/>
  <c r="N363" i="7"/>
  <c r="F363" i="17"/>
  <c r="M363" i="7"/>
  <c r="E363" i="17"/>
  <c r="M1644" i="7"/>
  <c r="E1644" i="17"/>
  <c r="N1644" i="7"/>
  <c r="F1644" i="17"/>
  <c r="M1541" i="7"/>
  <c r="E1541" i="17"/>
  <c r="N1541" i="7"/>
  <c r="F1541" i="17"/>
  <c r="M1288" i="7"/>
  <c r="E1288" i="17"/>
  <c r="N1288" i="7"/>
  <c r="F1288" i="17"/>
  <c r="N1319" i="7"/>
  <c r="F1319" i="17"/>
  <c r="M1319" i="7"/>
  <c r="E1319" i="17"/>
  <c r="N1424" i="7"/>
  <c r="F1424" i="17"/>
  <c r="M1424" i="7"/>
  <c r="E1424" i="17"/>
  <c r="N773" i="7"/>
  <c r="F773" i="17"/>
  <c r="M773" i="7"/>
  <c r="E773" i="17"/>
  <c r="M1576" i="7"/>
  <c r="E1576" i="17"/>
  <c r="N1576" i="7"/>
  <c r="F1576" i="17"/>
  <c r="N687" i="7"/>
  <c r="F687" i="17"/>
  <c r="M687" i="7"/>
  <c r="E687" i="17"/>
  <c r="N582" i="7"/>
  <c r="F582" i="17"/>
  <c r="M582" i="7"/>
  <c r="E582" i="17"/>
  <c r="N209" i="7"/>
  <c r="F209" i="17"/>
  <c r="M209" i="7"/>
  <c r="E209" i="17"/>
  <c r="N1119" i="7"/>
  <c r="F1119" i="17"/>
  <c r="M1119" i="7"/>
  <c r="E1119" i="17"/>
  <c r="M1367" i="7"/>
  <c r="E1367" i="17"/>
  <c r="N1367" i="7"/>
  <c r="F1367" i="17"/>
  <c r="N540" i="7"/>
  <c r="F540" i="17"/>
  <c r="M540" i="7"/>
  <c r="E540" i="17"/>
  <c r="M310" i="7"/>
  <c r="E310" i="17"/>
  <c r="N310" i="7"/>
  <c r="F310" i="17"/>
  <c r="N228" i="7"/>
  <c r="F228" i="17"/>
  <c r="M228" i="7"/>
  <c r="E228" i="17"/>
  <c r="N615" i="7"/>
  <c r="F615" i="17"/>
  <c r="M615" i="7"/>
  <c r="E615" i="17"/>
  <c r="M181" i="7"/>
  <c r="E181" i="17"/>
  <c r="N181" i="7"/>
  <c r="F181" i="17"/>
  <c r="M1197" i="7"/>
  <c r="E1197" i="17"/>
  <c r="N1197" i="7"/>
  <c r="F1197" i="17"/>
  <c r="N173" i="7"/>
  <c r="F173" i="17"/>
  <c r="M173" i="7"/>
  <c r="E173" i="17"/>
  <c r="M276" i="7"/>
  <c r="E276" i="17"/>
  <c r="N276" i="7"/>
  <c r="F276" i="17"/>
  <c r="M537" i="7"/>
  <c r="E537" i="17"/>
  <c r="N537" i="7"/>
  <c r="F537" i="17"/>
  <c r="M1021" i="7"/>
  <c r="E1021" i="17"/>
  <c r="N1021" i="7"/>
  <c r="F1021" i="17"/>
  <c r="N902" i="7"/>
  <c r="F902" i="17"/>
  <c r="M902" i="7"/>
  <c r="E902" i="17"/>
  <c r="M417" i="7"/>
  <c r="E417" i="17"/>
  <c r="N417" i="7"/>
  <c r="F417" i="17"/>
  <c r="N818" i="7"/>
  <c r="F818" i="17"/>
  <c r="M818" i="7"/>
  <c r="E818" i="17"/>
  <c r="N459" i="7"/>
  <c r="F459" i="17"/>
  <c r="M459" i="7"/>
  <c r="E459" i="17"/>
  <c r="M923" i="7"/>
  <c r="E923" i="17"/>
  <c r="N923" i="7"/>
  <c r="F923" i="17"/>
  <c r="N784" i="7"/>
  <c r="F784" i="17"/>
  <c r="M784" i="7"/>
  <c r="E784" i="17"/>
  <c r="N876" i="7"/>
  <c r="F876" i="17"/>
  <c r="M876" i="7"/>
  <c r="E876" i="17"/>
  <c r="N616" i="7"/>
  <c r="F616" i="17"/>
  <c r="M616" i="7"/>
  <c r="E616" i="17"/>
  <c r="M77" i="7"/>
  <c r="E77" i="17"/>
  <c r="N77" i="7"/>
  <c r="F77" i="17"/>
  <c r="N1087" i="7"/>
  <c r="F1087" i="17"/>
  <c r="M1087" i="7"/>
  <c r="E1087" i="17"/>
  <c r="N780" i="7"/>
  <c r="F780" i="17"/>
  <c r="M780" i="7"/>
  <c r="E780" i="17"/>
  <c r="N859" i="7"/>
  <c r="F859" i="17"/>
  <c r="M859" i="7"/>
  <c r="E859" i="17"/>
  <c r="M802" i="7"/>
  <c r="E802" i="17"/>
  <c r="N802" i="7"/>
  <c r="F802" i="17"/>
  <c r="N340" i="7"/>
  <c r="F340" i="17"/>
  <c r="M340" i="7"/>
  <c r="E340" i="17"/>
  <c r="N1470" i="7"/>
  <c r="F1470" i="17"/>
  <c r="M1470" i="7"/>
  <c r="E1470" i="17"/>
  <c r="M781" i="7"/>
  <c r="E781" i="17"/>
  <c r="N781" i="7"/>
  <c r="F781" i="17"/>
  <c r="M1299" i="7"/>
  <c r="E1299" i="17"/>
  <c r="N1299" i="7"/>
  <c r="F1299" i="17"/>
  <c r="N405" i="7"/>
  <c r="F405" i="17"/>
  <c r="M405" i="7"/>
  <c r="E405" i="17"/>
  <c r="M1256" i="7"/>
  <c r="E1256" i="17"/>
  <c r="N1256" i="7"/>
  <c r="F1256" i="17"/>
  <c r="N1029" i="7"/>
  <c r="F1029" i="17"/>
  <c r="M1029" i="7"/>
  <c r="E1029" i="17"/>
  <c r="N342" i="7"/>
  <c r="F342" i="17"/>
  <c r="M342" i="7"/>
  <c r="E342" i="17"/>
  <c r="M914" i="7"/>
  <c r="N914" i="7"/>
  <c r="M707" i="7"/>
  <c r="E707" i="17"/>
  <c r="N707" i="7"/>
  <c r="F707" i="17"/>
  <c r="N536" i="7"/>
  <c r="F536" i="17"/>
  <c r="M536" i="7"/>
  <c r="E536" i="17"/>
  <c r="N511" i="7"/>
  <c r="F511" i="17"/>
  <c r="M511" i="7"/>
  <c r="E511" i="17"/>
  <c r="M981" i="7"/>
  <c r="E981" i="17"/>
  <c r="N981" i="7"/>
  <c r="F981" i="17"/>
  <c r="N854" i="7"/>
  <c r="F854" i="17"/>
  <c r="M854" i="7"/>
  <c r="E854" i="17"/>
  <c r="M1160" i="7"/>
  <c r="E1160" i="17"/>
  <c r="N1160" i="7"/>
  <c r="F1160" i="17"/>
  <c r="M570" i="7"/>
  <c r="E570" i="17"/>
  <c r="N570" i="7"/>
  <c r="F570" i="17"/>
  <c r="N1282" i="7"/>
  <c r="F1282" i="17"/>
  <c r="M1282" i="7"/>
  <c r="E1282" i="17"/>
  <c r="N321" i="7"/>
  <c r="F321" i="17"/>
  <c r="M321" i="7"/>
  <c r="E321" i="17"/>
  <c r="N1140" i="7"/>
  <c r="F1140" i="17"/>
  <c r="M1140" i="7"/>
  <c r="E1140" i="17"/>
  <c r="N111" i="7"/>
  <c r="F111" i="17"/>
  <c r="M111" i="7"/>
  <c r="E111" i="17"/>
  <c r="N190" i="7"/>
  <c r="F190" i="17"/>
  <c r="M190" i="7"/>
  <c r="E190" i="17"/>
  <c r="M1126" i="7"/>
  <c r="E1126" i="17"/>
  <c r="N1126" i="7"/>
  <c r="F1126" i="17"/>
  <c r="M300" i="7"/>
  <c r="N300" i="7"/>
  <c r="N416" i="7"/>
  <c r="F416" i="17"/>
  <c r="M416" i="7"/>
  <c r="E416" i="17"/>
  <c r="N782" i="7"/>
  <c r="F782" i="17"/>
  <c r="M782" i="7"/>
  <c r="E782" i="17"/>
  <c r="M262" i="7"/>
  <c r="E262" i="17"/>
  <c r="N262" i="7"/>
  <c r="F262" i="17"/>
  <c r="M610" i="7"/>
  <c r="E610" i="17"/>
  <c r="N610" i="7"/>
  <c r="F610" i="17"/>
  <c r="N265" i="7"/>
  <c r="F265" i="17"/>
  <c r="M265" i="7"/>
  <c r="E265" i="17"/>
  <c r="M753" i="7"/>
  <c r="E753" i="17"/>
  <c r="N753" i="7"/>
  <c r="F753" i="17"/>
  <c r="F753" i="24"/>
  <c r="M1584" i="7"/>
  <c r="E1584" i="17"/>
  <c r="N1584" i="7"/>
  <c r="F1584" i="17"/>
  <c r="N1115" i="7"/>
  <c r="F1115" i="17"/>
  <c r="M1115" i="7"/>
  <c r="E1115" i="17"/>
  <c r="E1115" i="24"/>
  <c r="M512" i="7"/>
  <c r="E512" i="17"/>
  <c r="N512" i="7"/>
  <c r="F512" i="17"/>
  <c r="M1026" i="7"/>
  <c r="E1026" i="17"/>
  <c r="N1026" i="7"/>
  <c r="F1026" i="17"/>
  <c r="F1026" i="24"/>
  <c r="N1055" i="7"/>
  <c r="F1055" i="17"/>
  <c r="M1055" i="7"/>
  <c r="E1055" i="17"/>
  <c r="N1570" i="7"/>
  <c r="F1570" i="17"/>
  <c r="M1570" i="7"/>
  <c r="E1570" i="17"/>
  <c r="E1570" i="24"/>
  <c r="M179" i="7"/>
  <c r="E179" i="17"/>
  <c r="N179" i="7"/>
  <c r="F179" i="17"/>
  <c r="N879" i="7"/>
  <c r="F879" i="17"/>
  <c r="M879" i="7"/>
  <c r="E879" i="17"/>
  <c r="E879" i="24"/>
  <c r="M56" i="7"/>
  <c r="E56" i="17"/>
  <c r="N56" i="7"/>
  <c r="F56" i="17"/>
  <c r="N667" i="7"/>
  <c r="F667" i="17"/>
  <c r="M667" i="7"/>
  <c r="E667" i="17"/>
  <c r="E667" i="24"/>
  <c r="N691" i="7"/>
  <c r="F691" i="17"/>
  <c r="M691" i="7"/>
  <c r="E691" i="17"/>
  <c r="M1170" i="7"/>
  <c r="E1170" i="17"/>
  <c r="N1170" i="7"/>
  <c r="F1170" i="17"/>
  <c r="F1170" i="24"/>
  <c r="M510" i="7"/>
  <c r="E510" i="17"/>
  <c r="N510" i="7"/>
  <c r="F510" i="17"/>
  <c r="N313" i="7"/>
  <c r="F313" i="17"/>
  <c r="M313" i="7"/>
  <c r="E313" i="17"/>
  <c r="E313" i="24"/>
  <c r="N184" i="7"/>
  <c r="F184" i="17"/>
  <c r="M184" i="7"/>
  <c r="E184" i="17"/>
  <c r="N200" i="7"/>
  <c r="F200" i="17"/>
  <c r="M200" i="7"/>
  <c r="E200" i="17"/>
  <c r="E200" i="24"/>
  <c r="M705" i="7"/>
  <c r="E705" i="17"/>
  <c r="N705" i="7"/>
  <c r="F705" i="17"/>
  <c r="N851" i="7"/>
  <c r="M851" i="7"/>
  <c r="N1015" i="7"/>
  <c r="F1015" i="17"/>
  <c r="M1015" i="7"/>
  <c r="E1015" i="17"/>
  <c r="M399" i="7"/>
  <c r="E399" i="17"/>
  <c r="N399" i="7"/>
  <c r="F399" i="17"/>
  <c r="F399" i="24"/>
  <c r="N1412" i="7"/>
  <c r="F1412" i="17"/>
  <c r="M1412" i="7"/>
  <c r="E1412" i="17"/>
  <c r="N76" i="7"/>
  <c r="F76" i="17"/>
  <c r="M76" i="7"/>
  <c r="E76" i="17"/>
  <c r="E76" i="24"/>
  <c r="M1501" i="7"/>
  <c r="E1501" i="17"/>
  <c r="N1501" i="7"/>
  <c r="F1501" i="17"/>
  <c r="N1047" i="7"/>
  <c r="F1047" i="17"/>
  <c r="M1047" i="7"/>
  <c r="E1047" i="17"/>
  <c r="E1047" i="24"/>
  <c r="M530" i="7"/>
  <c r="E530" i="17"/>
  <c r="N530" i="7"/>
  <c r="F530" i="17"/>
  <c r="N627" i="7"/>
  <c r="F627" i="17"/>
  <c r="M627" i="7"/>
  <c r="E627" i="17"/>
  <c r="E627" i="24"/>
  <c r="N831" i="7"/>
  <c r="F831" i="17"/>
  <c r="M831" i="7"/>
  <c r="E831" i="17"/>
  <c r="M1572" i="7"/>
  <c r="E1572" i="17"/>
  <c r="N1572" i="7"/>
  <c r="F1572" i="17"/>
  <c r="F1572" i="24"/>
  <c r="N1475" i="7"/>
  <c r="F1475" i="17"/>
  <c r="M1475" i="7"/>
  <c r="E1475" i="17"/>
  <c r="M1185" i="7"/>
  <c r="E1185" i="17"/>
  <c r="N1185" i="7"/>
  <c r="F1185" i="17"/>
  <c r="F1185" i="24"/>
  <c r="M106" i="7"/>
  <c r="E106" i="17"/>
  <c r="N106" i="7"/>
  <c r="F106" i="17"/>
  <c r="M1531" i="7"/>
  <c r="E1531" i="17"/>
  <c r="N1531" i="7"/>
  <c r="F1531" i="17"/>
  <c r="F1531" i="24"/>
  <c r="M33" i="7"/>
  <c r="E33" i="17"/>
  <c r="N33" i="7"/>
  <c r="F33" i="17"/>
  <c r="N1345" i="7"/>
  <c r="F1345" i="17"/>
  <c r="M1345" i="7"/>
  <c r="E1345" i="17"/>
  <c r="E1345" i="24"/>
  <c r="N454" i="7"/>
  <c r="F454" i="17"/>
  <c r="M454" i="7"/>
  <c r="E454" i="17"/>
  <c r="N1564" i="7"/>
  <c r="F1564" i="17"/>
  <c r="M1564" i="7"/>
  <c r="E1564" i="17"/>
  <c r="E1564" i="24"/>
  <c r="N211" i="7"/>
  <c r="F211" i="17"/>
  <c r="M211" i="7"/>
  <c r="E211" i="17"/>
  <c r="M869" i="7"/>
  <c r="E869" i="17"/>
  <c r="N869" i="7"/>
  <c r="F869" i="17"/>
  <c r="F869" i="24"/>
  <c r="N268" i="7"/>
  <c r="F268" i="17"/>
  <c r="M268" i="7"/>
  <c r="E268" i="17"/>
  <c r="N1357" i="7"/>
  <c r="F1357" i="17"/>
  <c r="M1357" i="7"/>
  <c r="E1357" i="17"/>
  <c r="E1357" i="24"/>
  <c r="N756" i="7"/>
  <c r="F756" i="17"/>
  <c r="M756" i="7"/>
  <c r="E756" i="17"/>
  <c r="M110" i="7"/>
  <c r="E110" i="17"/>
  <c r="N110" i="7"/>
  <c r="F110" i="17"/>
  <c r="F110" i="24"/>
  <c r="N722" i="7"/>
  <c r="F722" i="17"/>
  <c r="M722" i="7"/>
  <c r="E722" i="17"/>
  <c r="N131" i="7"/>
  <c r="F131" i="17"/>
  <c r="M131" i="7"/>
  <c r="E131" i="17"/>
  <c r="E131" i="24"/>
  <c r="M87" i="7"/>
  <c r="E87" i="17"/>
  <c r="N87" i="7"/>
  <c r="F87" i="17"/>
  <c r="M252" i="7"/>
  <c r="E252" i="17"/>
  <c r="N252" i="7"/>
  <c r="F252" i="17"/>
  <c r="F252" i="24"/>
  <c r="M1263" i="7"/>
  <c r="E1263" i="17"/>
  <c r="N1263" i="7"/>
  <c r="F1263" i="17"/>
  <c r="M634" i="7"/>
  <c r="E634" i="17"/>
  <c r="N634" i="7"/>
  <c r="F634" i="17"/>
  <c r="F634" i="24"/>
  <c r="M1647" i="7"/>
  <c r="E1647" i="17"/>
  <c r="N1647" i="7"/>
  <c r="F1647" i="17"/>
  <c r="N534" i="7"/>
  <c r="F534" i="17"/>
  <c r="M534" i="7"/>
  <c r="E534" i="17"/>
  <c r="E534" i="24"/>
  <c r="M336" i="7"/>
  <c r="E336" i="17"/>
  <c r="N336" i="7"/>
  <c r="F336" i="17"/>
  <c r="M679" i="7"/>
  <c r="E679" i="17"/>
  <c r="N679" i="7"/>
  <c r="F679" i="17"/>
  <c r="F679" i="24"/>
  <c r="N1321" i="7"/>
  <c r="F1321" i="17"/>
  <c r="M1321" i="7"/>
  <c r="E1321" i="17"/>
  <c r="N62" i="7"/>
  <c r="F62" i="17"/>
  <c r="M62" i="7"/>
  <c r="E62" i="17"/>
  <c r="E62" i="24"/>
  <c r="M103" i="7"/>
  <c r="E103" i="17"/>
  <c r="N103" i="7"/>
  <c r="F103" i="17"/>
  <c r="N1303" i="7"/>
  <c r="F1303" i="17"/>
  <c r="M1303" i="7"/>
  <c r="E1303" i="17"/>
  <c r="E1303" i="24"/>
  <c r="M20" i="7"/>
  <c r="E20" i="17"/>
  <c r="N20" i="7"/>
  <c r="F20" i="17"/>
  <c r="N1314" i="7"/>
  <c r="F1314" i="17"/>
  <c r="M1314" i="7"/>
  <c r="E1314" i="17"/>
  <c r="E1314" i="24"/>
  <c r="N702" i="7"/>
  <c r="F702" i="17"/>
  <c r="M702" i="7"/>
  <c r="E702" i="17"/>
  <c r="M1364" i="7"/>
  <c r="E1364" i="17"/>
  <c r="N1364" i="7"/>
  <c r="F1364" i="17"/>
  <c r="F1364" i="24"/>
  <c r="N1439" i="7"/>
  <c r="F1439" i="17"/>
  <c r="M1439" i="7"/>
  <c r="E1439" i="17"/>
  <c r="M1283" i="7"/>
  <c r="E1283" i="17"/>
  <c r="N1283" i="7"/>
  <c r="F1283" i="17"/>
  <c r="F1283" i="24"/>
  <c r="M1016" i="7"/>
  <c r="E1016" i="17"/>
  <c r="N1016" i="7"/>
  <c r="F1016" i="17"/>
  <c r="N429" i="7"/>
  <c r="F429" i="17"/>
  <c r="M429" i="7"/>
  <c r="E429" i="17"/>
  <c r="E429" i="24"/>
  <c r="M477" i="7"/>
  <c r="E477" i="17"/>
  <c r="N477" i="7"/>
  <c r="F477" i="17"/>
  <c r="N837" i="7"/>
  <c r="F837" i="17"/>
  <c r="M837" i="7"/>
  <c r="E837" i="17"/>
  <c r="E837" i="24"/>
  <c r="M1162" i="7"/>
  <c r="E1162" i="17"/>
  <c r="N1162" i="7"/>
  <c r="F1162" i="17"/>
  <c r="M420" i="7"/>
  <c r="E420" i="17"/>
  <c r="N420" i="7"/>
  <c r="F420" i="17"/>
  <c r="F420" i="24"/>
  <c r="M747" i="7"/>
  <c r="E747" i="17"/>
  <c r="N747" i="7"/>
  <c r="F747" i="17"/>
  <c r="M1228" i="7"/>
  <c r="E1228" i="17"/>
  <c r="N1228" i="7"/>
  <c r="F1228" i="17"/>
  <c r="F1228" i="24"/>
  <c r="M857" i="7"/>
  <c r="E857" i="17"/>
  <c r="N857" i="7"/>
  <c r="F857" i="17"/>
  <c r="N750" i="7"/>
  <c r="F750" i="17"/>
  <c r="M750" i="7"/>
  <c r="E750" i="17"/>
  <c r="E750" i="24"/>
  <c r="N1574" i="7"/>
  <c r="F1574" i="17"/>
  <c r="M1574" i="7"/>
  <c r="E1574" i="17"/>
  <c r="N89" i="7"/>
  <c r="F89" i="17"/>
  <c r="M89" i="7"/>
  <c r="E89" i="17"/>
  <c r="E89" i="24"/>
  <c r="M1402" i="7"/>
  <c r="E1402" i="17"/>
  <c r="N1402" i="7"/>
  <c r="F1402" i="17"/>
  <c r="N575" i="7"/>
  <c r="F575" i="17"/>
  <c r="M575" i="7"/>
  <c r="E575" i="17"/>
  <c r="E575" i="24"/>
  <c r="N66" i="7"/>
  <c r="F66" i="17"/>
  <c r="M66" i="7"/>
  <c r="E66" i="17"/>
  <c r="N133" i="7"/>
  <c r="F133" i="17"/>
  <c r="M133" i="7"/>
  <c r="E133" i="17"/>
  <c r="E133" i="24"/>
  <c r="M1422" i="7"/>
  <c r="E1422" i="17"/>
  <c r="N1422" i="7"/>
  <c r="F1422" i="17"/>
  <c r="M935" i="7"/>
  <c r="E935" i="17"/>
  <c r="N935" i="7"/>
  <c r="F935" i="17"/>
  <c r="F935" i="24"/>
  <c r="N716" i="7"/>
  <c r="F716" i="17"/>
  <c r="M716" i="7"/>
  <c r="E716" i="17"/>
  <c r="N1559" i="7"/>
  <c r="F1559" i="17"/>
  <c r="M1559" i="7"/>
  <c r="E1559" i="17"/>
  <c r="E1559" i="24"/>
  <c r="M1554" i="7"/>
  <c r="E1554" i="17"/>
  <c r="N1554" i="7"/>
  <c r="F1554" i="17"/>
  <c r="M88" i="7"/>
  <c r="E88" i="17"/>
  <c r="N88" i="7"/>
  <c r="F88" i="17"/>
  <c r="F88" i="24"/>
  <c r="N632" i="7"/>
  <c r="F632" i="17"/>
  <c r="M632" i="7"/>
  <c r="E632" i="17"/>
  <c r="M1236" i="7"/>
  <c r="E1236" i="17"/>
  <c r="N1236" i="7"/>
  <c r="F1236" i="17"/>
  <c r="F1236" i="24"/>
  <c r="M925" i="7"/>
  <c r="E925" i="17"/>
  <c r="N925" i="7"/>
  <c r="F925" i="17"/>
  <c r="M378" i="7"/>
  <c r="E378" i="17"/>
  <c r="N378" i="7"/>
  <c r="F378" i="17"/>
  <c r="F378" i="24"/>
  <c r="M983" i="7"/>
  <c r="E983" i="17"/>
  <c r="N983" i="7"/>
  <c r="F983" i="17"/>
  <c r="N1383" i="7"/>
  <c r="F1383" i="17"/>
  <c r="M1383" i="7"/>
  <c r="E1383" i="17"/>
  <c r="E1383" i="24"/>
  <c r="M720" i="7"/>
  <c r="E720" i="17"/>
  <c r="N720" i="7"/>
  <c r="F720" i="17"/>
  <c r="M1429" i="7"/>
  <c r="E1429" i="17"/>
  <c r="N1429" i="7"/>
  <c r="F1429" i="17"/>
  <c r="F1429" i="24"/>
  <c r="N635" i="7"/>
  <c r="F635" i="17"/>
  <c r="M635" i="7"/>
  <c r="E635" i="17"/>
  <c r="N1137" i="7"/>
  <c r="F1137" i="17"/>
  <c r="M1137" i="7"/>
  <c r="E1137" i="17"/>
  <c r="E1137" i="24"/>
  <c r="M314" i="7"/>
  <c r="E314" i="17"/>
  <c r="N314" i="7"/>
  <c r="F314" i="17"/>
  <c r="N1059" i="7"/>
  <c r="F1059" i="17"/>
  <c r="M1059" i="7"/>
  <c r="E1059" i="17"/>
  <c r="E1059" i="24"/>
  <c r="M199" i="7"/>
  <c r="E199" i="17"/>
  <c r="N199" i="7"/>
  <c r="F199" i="17"/>
  <c r="N546" i="7"/>
  <c r="F546" i="17"/>
  <c r="M546" i="7"/>
  <c r="E546" i="17"/>
  <c r="E546" i="24"/>
  <c r="N1421" i="7"/>
  <c r="F1421" i="17"/>
  <c r="M1421" i="7"/>
  <c r="E1421" i="17"/>
  <c r="M351" i="7"/>
  <c r="E351" i="17"/>
  <c r="N351" i="7"/>
  <c r="F351" i="17"/>
  <c r="F351" i="24"/>
  <c r="N350" i="7"/>
  <c r="F350" i="17"/>
  <c r="M350" i="7"/>
  <c r="E350" i="17"/>
  <c r="N1230" i="7"/>
  <c r="F1230" i="17"/>
  <c r="M1230" i="7"/>
  <c r="E1230" i="17"/>
  <c r="E1230" i="24"/>
  <c r="M221" i="7"/>
  <c r="E221" i="17"/>
  <c r="N221" i="7"/>
  <c r="F221" i="17"/>
  <c r="M53" i="7"/>
  <c r="E53" i="17"/>
  <c r="N53" i="7"/>
  <c r="F53" i="17"/>
  <c r="F53" i="24"/>
  <c r="M877" i="7"/>
  <c r="E877" i="17"/>
  <c r="N877" i="7"/>
  <c r="F877" i="17"/>
  <c r="M683" i="7"/>
  <c r="E683" i="17"/>
  <c r="N683" i="7"/>
  <c r="F683" i="17"/>
  <c r="F683" i="24"/>
  <c r="M138" i="7"/>
  <c r="E138" i="17"/>
  <c r="N138" i="7"/>
  <c r="F138" i="17"/>
  <c r="M865" i="7"/>
  <c r="E865" i="17"/>
  <c r="N865" i="7"/>
  <c r="F865" i="17"/>
  <c r="F865" i="24"/>
  <c r="N959" i="7"/>
  <c r="F959" i="17"/>
  <c r="M959" i="7"/>
  <c r="E959" i="17"/>
  <c r="M1446" i="7"/>
  <c r="E1446" i="17"/>
  <c r="N1446" i="7"/>
  <c r="F1446" i="17"/>
  <c r="F1446" i="24"/>
  <c r="N428" i="7"/>
  <c r="F428" i="17"/>
  <c r="M428" i="7"/>
  <c r="E428" i="17"/>
  <c r="M359" i="7"/>
  <c r="E359" i="17"/>
  <c r="N359" i="7"/>
  <c r="F359" i="17"/>
  <c r="F359" i="24"/>
  <c r="N478" i="7"/>
  <c r="F478" i="17"/>
  <c r="M478" i="7"/>
  <c r="E478" i="17"/>
  <c r="M835" i="7"/>
  <c r="E835" i="17"/>
  <c r="N835" i="7"/>
  <c r="F835" i="17"/>
  <c r="F835" i="24"/>
  <c r="M1224" i="7"/>
  <c r="E1224" i="17"/>
  <c r="N1224" i="7"/>
  <c r="F1224" i="17"/>
  <c r="N1609" i="7"/>
  <c r="F1609" i="17"/>
  <c r="M1609" i="7"/>
  <c r="E1609" i="17"/>
  <c r="E1609" i="24"/>
  <c r="M64" i="7"/>
  <c r="E64" i="17"/>
  <c r="N64" i="7"/>
  <c r="F64" i="17"/>
  <c r="N163" i="7"/>
  <c r="F163" i="17"/>
  <c r="M163" i="7"/>
  <c r="E163" i="17"/>
  <c r="E163" i="24"/>
  <c r="M1488" i="7"/>
  <c r="E1488" i="17"/>
  <c r="N1488" i="7"/>
  <c r="F1488" i="17"/>
  <c r="N941" i="7"/>
  <c r="F941" i="17"/>
  <c r="M941" i="7"/>
  <c r="E941" i="17"/>
  <c r="E941" i="24"/>
  <c r="N227" i="7"/>
  <c r="F227" i="17"/>
  <c r="M227" i="7"/>
  <c r="E227" i="17"/>
  <c r="M1265" i="7"/>
  <c r="E1265" i="17"/>
  <c r="N1265" i="7"/>
  <c r="F1265" i="17"/>
  <c r="F1265" i="24"/>
  <c r="N646" i="7"/>
  <c r="F646" i="17"/>
  <c r="M646" i="7"/>
  <c r="E646" i="17"/>
  <c r="N820" i="7"/>
  <c r="F820" i="17"/>
  <c r="M820" i="7"/>
  <c r="E820" i="17"/>
  <c r="E820" i="24"/>
  <c r="N742" i="7"/>
  <c r="F742" i="17"/>
  <c r="M742" i="7"/>
  <c r="E742" i="17"/>
  <c r="M400" i="7"/>
  <c r="E400" i="17"/>
  <c r="N400" i="7"/>
  <c r="F400" i="17"/>
  <c r="F400" i="24"/>
  <c r="M746" i="7"/>
  <c r="E746" i="17"/>
  <c r="N746" i="7"/>
  <c r="F746" i="17"/>
  <c r="M572" i="7"/>
  <c r="E572" i="17"/>
  <c r="N572" i="7"/>
  <c r="F572" i="17"/>
  <c r="F572" i="24"/>
  <c r="M834" i="7"/>
  <c r="E834" i="17"/>
  <c r="N834" i="7"/>
  <c r="F834" i="17"/>
  <c r="N183" i="7"/>
  <c r="F183" i="17"/>
  <c r="M183" i="7"/>
  <c r="E183" i="17"/>
  <c r="E183" i="24"/>
  <c r="N708" i="7"/>
  <c r="F708" i="17"/>
  <c r="M708" i="7"/>
  <c r="E708" i="17"/>
  <c r="M868" i="7"/>
  <c r="E868" i="17"/>
  <c r="N868" i="7"/>
  <c r="F868" i="17"/>
  <c r="F868" i="24"/>
  <c r="N1512" i="7"/>
  <c r="F1512" i="17"/>
  <c r="M1512" i="7"/>
  <c r="E1512" i="17"/>
  <c r="N871" i="7"/>
  <c r="F871" i="17"/>
  <c r="M871" i="7"/>
  <c r="E871" i="17"/>
  <c r="E871" i="24"/>
  <c r="M1496" i="7"/>
  <c r="E1496" i="17"/>
  <c r="N1496" i="7"/>
  <c r="F1496" i="17"/>
  <c r="M648" i="7"/>
  <c r="E648" i="17"/>
  <c r="N648" i="7"/>
  <c r="F648" i="17"/>
  <c r="F648" i="24"/>
  <c r="M1227" i="7"/>
  <c r="E1227" i="17"/>
  <c r="N1227" i="7"/>
  <c r="F1227" i="17"/>
  <c r="N385" i="7"/>
  <c r="F385" i="17"/>
  <c r="M385" i="7"/>
  <c r="E385" i="17"/>
  <c r="E385" i="24"/>
  <c r="M1250" i="7"/>
  <c r="E1250" i="17"/>
  <c r="N1250" i="7"/>
  <c r="F1250" i="17"/>
  <c r="M1552" i="7"/>
  <c r="E1552" i="17"/>
  <c r="N1552" i="7"/>
  <c r="F1552" i="17"/>
  <c r="F1552" i="24"/>
  <c r="M1579" i="7"/>
  <c r="E1579" i="17"/>
  <c r="N1579" i="7"/>
  <c r="F1579" i="17"/>
  <c r="M1351" i="7"/>
  <c r="E1351" i="17"/>
  <c r="N1351" i="7"/>
  <c r="F1351" i="17"/>
  <c r="F1351" i="24"/>
  <c r="M1502" i="7"/>
  <c r="E1502" i="17"/>
  <c r="N1502" i="7"/>
  <c r="F1502" i="17"/>
  <c r="N205" i="7"/>
  <c r="F205" i="17"/>
  <c r="M205" i="7"/>
  <c r="E205" i="17"/>
  <c r="E205" i="24"/>
  <c r="M1406" i="7"/>
  <c r="E1406" i="17"/>
  <c r="N1406" i="7"/>
  <c r="F1406" i="17"/>
  <c r="M1175" i="7"/>
  <c r="E1175" i="17"/>
  <c r="N1175" i="7"/>
  <c r="F1175" i="17"/>
  <c r="F1175" i="24"/>
  <c r="N23" i="7"/>
  <c r="F23" i="17"/>
  <c r="M23" i="7"/>
  <c r="E23" i="17"/>
  <c r="M157" i="7"/>
  <c r="E157" i="17"/>
  <c r="N157" i="7"/>
  <c r="F157" i="17"/>
  <c r="F157" i="24"/>
  <c r="M1622" i="7"/>
  <c r="E1622" i="17"/>
  <c r="N1622" i="7"/>
  <c r="F1622" i="17"/>
  <c r="M30" i="7"/>
  <c r="E30" i="17"/>
  <c r="N30" i="7"/>
  <c r="F30" i="17"/>
  <c r="F30" i="24"/>
  <c r="M1186" i="7"/>
  <c r="E1186" i="17"/>
  <c r="N1186" i="7"/>
  <c r="F1186" i="17"/>
  <c r="N288" i="7"/>
  <c r="F288" i="17"/>
  <c r="M288" i="7"/>
  <c r="E288" i="17"/>
  <c r="E288" i="24"/>
  <c r="N498" i="7"/>
  <c r="F498" i="17"/>
  <c r="M498" i="7"/>
  <c r="E498" i="17"/>
  <c r="M255" i="7"/>
  <c r="E255" i="17"/>
  <c r="N255" i="7"/>
  <c r="F255" i="17"/>
  <c r="F255" i="24"/>
  <c r="M1509" i="7"/>
  <c r="E1509" i="17"/>
  <c r="N1509" i="7"/>
  <c r="F1509" i="17"/>
  <c r="N1344" i="7"/>
  <c r="F1344" i="17"/>
  <c r="M1344" i="7"/>
  <c r="E1344" i="17"/>
  <c r="E1344" i="24"/>
  <c r="N692" i="7"/>
  <c r="F692" i="17"/>
  <c r="M692" i="7"/>
  <c r="E692" i="17"/>
  <c r="N278" i="7"/>
  <c r="F278" i="17"/>
  <c r="M278" i="7"/>
  <c r="E278" i="17"/>
  <c r="E278" i="24"/>
  <c r="M305" i="7"/>
  <c r="E305" i="17"/>
  <c r="N305" i="7"/>
  <c r="F305" i="17"/>
  <c r="M303" i="7"/>
  <c r="E303" i="17"/>
  <c r="N303" i="7"/>
  <c r="F303" i="17"/>
  <c r="F303" i="24"/>
  <c r="M1260" i="7"/>
  <c r="E1260" i="17"/>
  <c r="N1260" i="7"/>
  <c r="F1260" i="17"/>
  <c r="M1092" i="7"/>
  <c r="E1092" i="17"/>
  <c r="N1092" i="7"/>
  <c r="F1092" i="17"/>
  <c r="F1092" i="24"/>
  <c r="N1436" i="7"/>
  <c r="F1436" i="17"/>
  <c r="M1436" i="7"/>
  <c r="E1436" i="17"/>
  <c r="N49" i="7"/>
  <c r="F49" i="17"/>
  <c r="M49" i="7"/>
  <c r="E49" i="17"/>
  <c r="E49" i="24"/>
  <c r="N1428" i="7"/>
  <c r="F1428" i="17"/>
  <c r="M1428" i="7"/>
  <c r="E1428" i="17"/>
  <c r="N31" i="7"/>
  <c r="F31" i="17"/>
  <c r="M31" i="7"/>
  <c r="E31" i="17"/>
  <c r="E31" i="24"/>
  <c r="N700" i="7"/>
  <c r="F700" i="17"/>
  <c r="M700" i="7"/>
  <c r="E700" i="17"/>
  <c r="N16" i="7"/>
  <c r="F16" i="17"/>
  <c r="M16" i="7"/>
  <c r="E16" i="17"/>
  <c r="E16" i="24"/>
  <c r="M489" i="7"/>
  <c r="E489" i="17"/>
  <c r="N489" i="7"/>
  <c r="F489" i="17"/>
  <c r="M617" i="7"/>
  <c r="E617" i="17"/>
  <c r="N617" i="7"/>
  <c r="F617" i="17"/>
  <c r="F617" i="24"/>
  <c r="M1144" i="7"/>
  <c r="E1144" i="17"/>
  <c r="N1144" i="7"/>
  <c r="F1144" i="17"/>
  <c r="N1002" i="7"/>
  <c r="F1002" i="17"/>
  <c r="M1002" i="7"/>
  <c r="E1002" i="17"/>
  <c r="E1002" i="24"/>
  <c r="M207" i="7"/>
  <c r="E207" i="17"/>
  <c r="N207" i="7"/>
  <c r="F207" i="17"/>
  <c r="M1653" i="7"/>
  <c r="E1653" i="17"/>
  <c r="N1653" i="7"/>
  <c r="F1653" i="17"/>
  <c r="F1653" i="24"/>
  <c r="N985" i="7"/>
  <c r="F985" i="17"/>
  <c r="M985" i="7"/>
  <c r="E985" i="17"/>
  <c r="M994" i="7"/>
  <c r="E994" i="17"/>
  <c r="N994" i="7"/>
  <c r="F994" i="17"/>
  <c r="F994" i="24"/>
  <c r="M407" i="7"/>
  <c r="E407" i="17"/>
  <c r="N407" i="7"/>
  <c r="F407" i="17"/>
  <c r="N309" i="7"/>
  <c r="F309" i="17"/>
  <c r="M309" i="7"/>
  <c r="E309" i="17"/>
  <c r="E309" i="24"/>
  <c r="M561" i="7"/>
  <c r="E561" i="17"/>
  <c r="N561" i="7"/>
  <c r="F561" i="17"/>
  <c r="M873" i="7"/>
  <c r="E873" i="17"/>
  <c r="N873" i="7"/>
  <c r="F873" i="17"/>
  <c r="F873" i="24"/>
  <c r="N432" i="7"/>
  <c r="F432" i="17"/>
  <c r="M432" i="7"/>
  <c r="E432" i="17"/>
  <c r="N998" i="7"/>
  <c r="F998" i="17"/>
  <c r="M998" i="7"/>
  <c r="E998" i="17"/>
  <c r="E998" i="24"/>
  <c r="M883" i="7"/>
  <c r="E883" i="17"/>
  <c r="N883" i="7"/>
  <c r="F883" i="17"/>
  <c r="M67" i="7"/>
  <c r="E67" i="17"/>
  <c r="N67" i="7"/>
  <c r="F67" i="17"/>
  <c r="F67" i="24"/>
  <c r="N1611" i="7"/>
  <c r="F1611" i="17"/>
  <c r="M1611" i="7"/>
  <c r="E1611" i="17"/>
  <c r="M1257" i="7"/>
  <c r="E1257" i="17"/>
  <c r="N1257" i="7"/>
  <c r="F1257" i="17"/>
  <c r="F1257" i="24"/>
  <c r="N964" i="7"/>
  <c r="F964" i="17"/>
  <c r="M964" i="7"/>
  <c r="E964" i="17"/>
  <c r="N479" i="7"/>
  <c r="F479" i="17"/>
  <c r="M479" i="7"/>
  <c r="E479" i="17"/>
  <c r="E479" i="24"/>
  <c r="N622" i="7"/>
  <c r="F622" i="17"/>
  <c r="M622" i="7"/>
  <c r="E622" i="17"/>
  <c r="M1067" i="7"/>
  <c r="E1067" i="17"/>
  <c r="N1067" i="7"/>
  <c r="F1067" i="17"/>
  <c r="F1067" i="24"/>
  <c r="N576" i="7"/>
  <c r="F576" i="17"/>
  <c r="M576" i="7"/>
  <c r="E576" i="17"/>
  <c r="N411" i="7"/>
  <c r="F411" i="17"/>
  <c r="M411" i="7"/>
  <c r="E411" i="17"/>
  <c r="E411" i="24"/>
  <c r="M1632" i="7"/>
  <c r="E1632" i="17"/>
  <c r="N1632" i="7"/>
  <c r="F1632" i="17"/>
  <c r="M1623" i="7"/>
  <c r="E1623" i="17"/>
  <c r="N1623" i="7"/>
  <c r="F1623" i="17"/>
  <c r="F1623" i="24"/>
  <c r="M46" i="7"/>
  <c r="E46" i="17"/>
  <c r="N46" i="7"/>
  <c r="F46" i="17"/>
  <c r="M810" i="7"/>
  <c r="E810" i="17"/>
  <c r="N810" i="7"/>
  <c r="F810" i="17"/>
  <c r="F810" i="24"/>
  <c r="M491" i="7"/>
  <c r="E491" i="17"/>
  <c r="N491" i="7"/>
  <c r="F491" i="17"/>
  <c r="N174" i="7"/>
  <c r="F174" i="17"/>
  <c r="M174" i="7"/>
  <c r="E174" i="17"/>
  <c r="E174" i="24"/>
  <c r="N1104" i="7"/>
  <c r="F1104" i="17"/>
  <c r="M1104" i="7"/>
  <c r="E1104" i="17"/>
  <c r="N676" i="7"/>
  <c r="M676" i="7"/>
  <c r="N439" i="7"/>
  <c r="F439" i="17"/>
  <c r="M439" i="7"/>
  <c r="E439" i="17"/>
  <c r="M1285" i="7"/>
  <c r="E1285" i="17"/>
  <c r="N1285" i="7"/>
  <c r="F1285" i="17"/>
  <c r="F1285" i="24"/>
  <c r="M1038" i="7"/>
  <c r="E1038" i="17"/>
  <c r="N1038" i="7"/>
  <c r="F1038" i="17"/>
  <c r="M1551" i="7"/>
  <c r="E1551" i="17"/>
  <c r="N1551" i="7"/>
  <c r="F1551" i="17"/>
  <c r="F1551" i="24"/>
  <c r="M1085" i="7"/>
  <c r="E1085" i="17"/>
  <c r="N1085" i="7"/>
  <c r="F1085" i="17"/>
  <c r="M1014" i="7"/>
  <c r="E1014" i="17"/>
  <c r="N1014" i="7"/>
  <c r="F1014" i="17"/>
  <c r="F1014" i="24"/>
  <c r="N327" i="7"/>
  <c r="F327" i="17"/>
  <c r="M327" i="7"/>
  <c r="E327" i="17"/>
  <c r="M1052" i="7"/>
  <c r="E1052" i="17"/>
  <c r="N1052" i="7"/>
  <c r="F1052" i="17"/>
  <c r="F1052" i="24"/>
  <c r="M348" i="7"/>
  <c r="E348" i="17"/>
  <c r="N348" i="7"/>
  <c r="F348" i="17"/>
  <c r="M772" i="7"/>
  <c r="E772" i="17"/>
  <c r="N772" i="7"/>
  <c r="F772" i="17"/>
  <c r="F772" i="24"/>
  <c r="N1648" i="7"/>
  <c r="F1648" i="17"/>
  <c r="M1648" i="7"/>
  <c r="E1648" i="17"/>
  <c r="M1031" i="7"/>
  <c r="E1031" i="17"/>
  <c r="N1031" i="7"/>
  <c r="F1031" i="17"/>
  <c r="F1031" i="24"/>
  <c r="N101" i="7"/>
  <c r="F101" i="17"/>
  <c r="M101" i="7"/>
  <c r="E101" i="17"/>
  <c r="N1284" i="7"/>
  <c r="F1284" i="17"/>
  <c r="M1284" i="7"/>
  <c r="E1284" i="17"/>
  <c r="E1284" i="24"/>
  <c r="M829" i="7"/>
  <c r="E829" i="17"/>
  <c r="N829" i="7"/>
  <c r="F829" i="17"/>
  <c r="N1547" i="7"/>
  <c r="F1547" i="17"/>
  <c r="M1547" i="7"/>
  <c r="E1547" i="17"/>
  <c r="E1547" i="24"/>
  <c r="N1359" i="7"/>
  <c r="F1359" i="17"/>
  <c r="M1359" i="7"/>
  <c r="E1359" i="17"/>
  <c r="N112" i="7"/>
  <c r="F112" i="17"/>
  <c r="M112" i="7"/>
  <c r="E112" i="17"/>
  <c r="E112" i="24"/>
  <c r="M1046" i="7"/>
  <c r="E1046" i="17"/>
  <c r="N1046" i="7"/>
  <c r="F1046" i="17"/>
  <c r="M1281" i="7"/>
  <c r="E1281" i="17"/>
  <c r="N1281" i="7"/>
  <c r="F1281" i="17"/>
  <c r="F1281" i="24"/>
  <c r="M1181" i="7"/>
  <c r="E1181" i="17"/>
  <c r="N1181" i="7"/>
  <c r="F1181" i="17"/>
  <c r="N1620" i="7"/>
  <c r="F1620" i="17"/>
  <c r="M1620" i="7"/>
  <c r="E1620" i="17"/>
  <c r="E1620" i="24"/>
  <c r="N694" i="7"/>
  <c r="F694" i="17"/>
  <c r="M694" i="7"/>
  <c r="E694" i="17"/>
  <c r="N1253" i="7"/>
  <c r="F1253" i="17"/>
  <c r="M1253" i="7"/>
  <c r="E1253" i="17"/>
  <c r="E1253" i="24"/>
  <c r="M565" i="7"/>
  <c r="E565" i="17"/>
  <c r="N565" i="7"/>
  <c r="F565" i="17"/>
  <c r="M290" i="7"/>
  <c r="E290" i="17"/>
  <c r="N290" i="7"/>
  <c r="F290" i="17"/>
  <c r="F290" i="24"/>
  <c r="M778" i="7"/>
  <c r="E778" i="17"/>
  <c r="N778" i="7"/>
  <c r="F778" i="17"/>
  <c r="M706" i="7"/>
  <c r="E706" i="17"/>
  <c r="N706" i="7"/>
  <c r="F706" i="17"/>
  <c r="F706" i="24"/>
  <c r="M57" i="7"/>
  <c r="E57" i="17"/>
  <c r="N57" i="7"/>
  <c r="F57" i="17"/>
  <c r="M1070" i="7"/>
  <c r="E1070" i="17"/>
  <c r="N1070" i="7"/>
  <c r="F1070" i="17"/>
  <c r="F1070" i="24"/>
  <c r="N1379" i="7"/>
  <c r="F1379" i="17"/>
  <c r="M1379" i="7"/>
  <c r="E1379" i="17"/>
  <c r="M948" i="7"/>
  <c r="E948" i="17"/>
  <c r="N948" i="7"/>
  <c r="F948" i="17"/>
  <c r="F948" i="24"/>
  <c r="N623" i="7"/>
  <c r="F623" i="17"/>
  <c r="M623" i="7"/>
  <c r="E623" i="17"/>
  <c r="M234" i="7"/>
  <c r="E234" i="17"/>
  <c r="N234" i="7"/>
  <c r="F234" i="17"/>
  <c r="F234" i="24"/>
  <c r="M741" i="7"/>
  <c r="E741" i="17"/>
  <c r="N741" i="7"/>
  <c r="F741" i="17"/>
  <c r="N1135" i="7"/>
  <c r="F1135" i="17"/>
  <c r="M1135" i="7"/>
  <c r="E1135" i="17"/>
  <c r="E1135" i="24"/>
  <c r="N94" i="7"/>
  <c r="F94" i="17"/>
  <c r="M94" i="7"/>
  <c r="E94" i="17"/>
  <c r="M982" i="7"/>
  <c r="E982" i="17"/>
  <c r="N982" i="7"/>
  <c r="F982" i="17"/>
  <c r="F982" i="24"/>
  <c r="N1086" i="7"/>
  <c r="F1086" i="17"/>
  <c r="M1086" i="7"/>
  <c r="E1086" i="17"/>
  <c r="N832" i="7"/>
  <c r="F832" i="17"/>
  <c r="M832" i="7"/>
  <c r="E832" i="17"/>
  <c r="E832" i="24"/>
  <c r="M1391" i="7"/>
  <c r="E1391" i="17"/>
  <c r="N1391" i="7"/>
  <c r="F1391" i="17"/>
  <c r="M611" i="7"/>
  <c r="E611" i="17"/>
  <c r="N611" i="7"/>
  <c r="F611" i="17"/>
  <c r="F611" i="24"/>
  <c r="M698" i="7"/>
  <c r="E698" i="17"/>
  <c r="N698" i="7"/>
  <c r="F698" i="17"/>
  <c r="N422" i="7"/>
  <c r="F422" i="17"/>
  <c r="M422" i="7"/>
  <c r="E422" i="17"/>
  <c r="E422" i="24"/>
  <c r="N230" i="7"/>
  <c r="F230" i="17"/>
  <c r="M230" i="7"/>
  <c r="E230" i="17"/>
  <c r="N1183" i="7"/>
  <c r="F1183" i="17"/>
  <c r="M1183" i="7"/>
  <c r="E1183" i="17"/>
  <c r="E1183" i="24"/>
  <c r="N1625" i="7"/>
  <c r="F1625" i="17"/>
  <c r="M1625" i="7"/>
  <c r="E1625" i="17"/>
  <c r="M1656" i="7"/>
  <c r="E1656" i="17"/>
  <c r="N1656" i="7"/>
  <c r="F1656" i="17"/>
  <c r="F1656" i="24"/>
  <c r="M811" i="7"/>
  <c r="E811" i="17"/>
  <c r="N811" i="7"/>
  <c r="F811" i="17"/>
  <c r="M1627" i="7"/>
  <c r="E1627" i="17"/>
  <c r="N1627" i="7"/>
  <c r="F1627" i="17"/>
  <c r="F1627" i="24"/>
  <c r="N862" i="7"/>
  <c r="F862" i="17"/>
  <c r="M862" i="7"/>
  <c r="E862" i="17"/>
  <c r="M343" i="7"/>
  <c r="E343" i="17"/>
  <c r="N343" i="7"/>
  <c r="F343" i="17"/>
  <c r="F343" i="24"/>
  <c r="M1289" i="7"/>
  <c r="E1289" i="17"/>
  <c r="N1289" i="7"/>
  <c r="F1289" i="17"/>
  <c r="N456" i="7"/>
  <c r="F456" i="17"/>
  <c r="M456" i="7"/>
  <c r="E456" i="17"/>
  <c r="E456" i="24"/>
  <c r="N899" i="7"/>
  <c r="F899" i="17"/>
  <c r="M899" i="7"/>
  <c r="E899" i="17"/>
  <c r="M1430" i="7"/>
  <c r="E1430" i="17"/>
  <c r="N1430" i="7"/>
  <c r="F1430" i="17"/>
  <c r="F1430" i="24"/>
  <c r="M38" i="7"/>
  <c r="E38" i="17"/>
  <c r="N38" i="7"/>
  <c r="F38" i="17"/>
  <c r="M630" i="7"/>
  <c r="E630" i="17"/>
  <c r="N630" i="7"/>
  <c r="F630" i="17"/>
  <c r="F630" i="24"/>
  <c r="M1371" i="7"/>
  <c r="E1371" i="17"/>
  <c r="N1371" i="7"/>
  <c r="F1371" i="17"/>
  <c r="N690" i="7"/>
  <c r="F690" i="17"/>
  <c r="M690" i="7"/>
  <c r="E690" i="17"/>
  <c r="E690" i="24"/>
  <c r="M551" i="7"/>
  <c r="E551" i="17"/>
  <c r="N551" i="7"/>
  <c r="F551" i="17"/>
  <c r="N1569" i="7"/>
  <c r="F1569" i="17"/>
  <c r="M1569" i="7"/>
  <c r="E1569" i="17"/>
  <c r="E1569" i="24"/>
  <c r="M353" i="7"/>
  <c r="E353" i="17"/>
  <c r="N353" i="7"/>
  <c r="F353" i="17"/>
  <c r="N1409" i="7"/>
  <c r="F1409" i="17"/>
  <c r="M1409" i="7"/>
  <c r="E1409" i="17"/>
  <c r="E1409" i="24"/>
  <c r="N900" i="7"/>
  <c r="F900" i="17"/>
  <c r="M900" i="7"/>
  <c r="E900" i="17"/>
  <c r="N1235" i="7"/>
  <c r="F1235" i="17"/>
  <c r="M1235" i="7"/>
  <c r="E1235" i="17"/>
  <c r="E1235" i="24"/>
  <c r="N465" i="7"/>
  <c r="F465" i="17"/>
  <c r="M465" i="7"/>
  <c r="E465" i="17"/>
  <c r="M1317" i="7"/>
  <c r="E1317" i="17"/>
  <c r="N1317" i="7"/>
  <c r="F1317" i="17"/>
  <c r="F1317" i="24"/>
  <c r="N357" i="7"/>
  <c r="F357" i="17"/>
  <c r="M357" i="7"/>
  <c r="E357" i="17"/>
  <c r="N659" i="7"/>
  <c r="F659" i="17"/>
  <c r="M659" i="7"/>
  <c r="E659" i="17"/>
  <c r="E659" i="24"/>
  <c r="N744" i="7"/>
  <c r="F744" i="17"/>
  <c r="M744" i="7"/>
  <c r="E744" i="17"/>
  <c r="N1610" i="7"/>
  <c r="F1610" i="17"/>
  <c r="M1610" i="7"/>
  <c r="E1610" i="17"/>
  <c r="E1610" i="24"/>
  <c r="M709" i="7"/>
  <c r="E709" i="17"/>
  <c r="N709" i="7"/>
  <c r="F709" i="17"/>
  <c r="N204" i="7"/>
  <c r="F204" i="17"/>
  <c r="M204" i="7"/>
  <c r="E204" i="17"/>
  <c r="E204" i="24"/>
  <c r="M1633" i="7"/>
  <c r="E1633" i="17"/>
  <c r="N1633" i="7"/>
  <c r="F1633" i="17"/>
  <c r="N1438" i="7"/>
  <c r="F1438" i="17"/>
  <c r="M1438" i="7"/>
  <c r="E1438" i="17"/>
  <c r="E1438" i="24"/>
  <c r="M1549" i="7"/>
  <c r="E1549" i="17"/>
  <c r="N1549" i="7"/>
  <c r="F1549" i="17"/>
  <c r="M807" i="7"/>
  <c r="E807" i="17"/>
  <c r="N807" i="7"/>
  <c r="F807" i="17"/>
  <c r="F807" i="24"/>
  <c r="N1442" i="7"/>
  <c r="F1442" i="17"/>
  <c r="M1442" i="7"/>
  <c r="E1442" i="17"/>
  <c r="M1071" i="7"/>
  <c r="E1071" i="17"/>
  <c r="N1071" i="7"/>
  <c r="F1071" i="17"/>
  <c r="F1071" i="24"/>
  <c r="N264" i="7"/>
  <c r="F264" i="17"/>
  <c r="M264" i="7"/>
  <c r="E264" i="17"/>
  <c r="N419" i="7"/>
  <c r="F419" i="17"/>
  <c r="M419" i="7"/>
  <c r="E419" i="17"/>
  <c r="E419" i="24"/>
  <c r="N890" i="7"/>
  <c r="F890" i="17"/>
  <c r="M890" i="7"/>
  <c r="E890" i="17"/>
  <c r="N1240" i="7"/>
  <c r="F1240" i="17"/>
  <c r="M1240" i="7"/>
  <c r="E1240" i="17"/>
  <c r="E1240" i="24"/>
  <c r="M1619" i="7"/>
  <c r="E1619" i="17"/>
  <c r="N1619" i="7"/>
  <c r="F1619" i="17"/>
  <c r="M341" i="7"/>
  <c r="E341" i="17"/>
  <c r="N341" i="7"/>
  <c r="F341" i="17"/>
  <c r="F341" i="24"/>
  <c r="N1247" i="7"/>
  <c r="F1247" i="17"/>
  <c r="M1247" i="7"/>
  <c r="E1247" i="17"/>
  <c r="N1054" i="7"/>
  <c r="F1054" i="17"/>
  <c r="M1054" i="7"/>
  <c r="E1054" i="17"/>
  <c r="E1054" i="24"/>
  <c r="N947" i="7"/>
  <c r="F947" i="17"/>
  <c r="M947" i="7"/>
  <c r="E947" i="17"/>
  <c r="N1113" i="7"/>
  <c r="F1113" i="17"/>
  <c r="M1113" i="7"/>
  <c r="E1113" i="17"/>
  <c r="E1113" i="24"/>
  <c r="M492" i="7"/>
  <c r="E492" i="17"/>
  <c r="N492" i="7"/>
  <c r="F492" i="17"/>
  <c r="N606" i="7"/>
  <c r="F606" i="17"/>
  <c r="M606" i="7"/>
  <c r="E606" i="17"/>
  <c r="E606" i="24"/>
  <c r="M1229" i="7"/>
  <c r="E1229" i="17"/>
  <c r="N1229" i="7"/>
  <c r="F1229" i="17"/>
  <c r="M235" i="7"/>
  <c r="E235" i="17"/>
  <c r="N235" i="7"/>
  <c r="F235" i="17"/>
  <c r="F235" i="24"/>
  <c r="N394" i="7"/>
  <c r="F394" i="17"/>
  <c r="M394" i="7"/>
  <c r="E394" i="17"/>
  <c r="N1141" i="7"/>
  <c r="F1141" i="17"/>
  <c r="M1141" i="7"/>
  <c r="E1141" i="17"/>
  <c r="E1141" i="24"/>
  <c r="N1618" i="7"/>
  <c r="F1618" i="17"/>
  <c r="M1618" i="7"/>
  <c r="E1618" i="17"/>
  <c r="N686" i="7"/>
  <c r="F686" i="17"/>
  <c r="M686" i="7"/>
  <c r="E686" i="17"/>
  <c r="E686" i="24"/>
  <c r="N1286" i="7"/>
  <c r="F1286" i="17"/>
  <c r="M1286" i="7"/>
  <c r="E1286" i="17"/>
  <c r="M1360" i="7"/>
  <c r="E1360" i="17"/>
  <c r="N1360" i="7"/>
  <c r="F1360" i="17"/>
  <c r="F1360" i="24"/>
  <c r="M1522" i="7"/>
  <c r="E1522" i="17"/>
  <c r="N1522" i="7"/>
  <c r="F1522" i="17"/>
  <c r="N1043" i="7"/>
  <c r="F1043" i="17"/>
  <c r="M1043" i="7"/>
  <c r="E1043" i="17"/>
  <c r="E1043" i="24"/>
  <c r="M151" i="7"/>
  <c r="N151" i="7"/>
  <c r="N1476" i="7"/>
  <c r="F1476" i="17"/>
  <c r="M1476" i="7"/>
  <c r="E1476" i="17"/>
  <c r="E1476" i="24"/>
  <c r="E1466" i="24"/>
  <c r="N1122" i="7"/>
  <c r="F1122" i="17"/>
  <c r="M1122" i="7"/>
  <c r="E1122" i="17"/>
  <c r="N463" i="7"/>
  <c r="F463" i="17"/>
  <c r="M463" i="7"/>
  <c r="E463" i="17"/>
  <c r="E463" i="24"/>
  <c r="M678" i="7"/>
  <c r="E678" i="17"/>
  <c r="N678" i="7"/>
  <c r="F678" i="17"/>
  <c r="N860" i="7"/>
  <c r="F860" i="17"/>
  <c r="M860" i="7"/>
  <c r="E860" i="17"/>
  <c r="E860" i="24"/>
  <c r="M272" i="7"/>
  <c r="E272" i="17"/>
  <c r="N272" i="7"/>
  <c r="F272" i="17"/>
  <c r="M1604" i="7"/>
  <c r="E1604" i="17"/>
  <c r="N1604" i="7"/>
  <c r="F1604" i="17"/>
  <c r="F1604" i="24"/>
  <c r="M892" i="7"/>
  <c r="E892" i="17"/>
  <c r="N892" i="7"/>
  <c r="F892" i="17"/>
  <c r="N63" i="7"/>
  <c r="F63" i="17"/>
  <c r="M63" i="7"/>
  <c r="E63" i="17"/>
  <c r="E63" i="24"/>
  <c r="N1507" i="7"/>
  <c r="F1507" i="17"/>
  <c r="M1507" i="7"/>
  <c r="E1507" i="17"/>
  <c r="N564" i="7"/>
  <c r="F564" i="17"/>
  <c r="M564" i="7"/>
  <c r="E564" i="17"/>
  <c r="E564" i="24"/>
  <c r="M715" i="7"/>
  <c r="E715" i="17"/>
  <c r="N715" i="7"/>
  <c r="F715" i="17"/>
  <c r="N396" i="7"/>
  <c r="F396" i="17"/>
  <c r="M396" i="7"/>
  <c r="E396" i="17"/>
  <c r="E396" i="24"/>
  <c r="M1089" i="7"/>
  <c r="E1089" i="17"/>
  <c r="N1089" i="7"/>
  <c r="F1089" i="17"/>
  <c r="N1587" i="7"/>
  <c r="F1587" i="17"/>
  <c r="M1587" i="7"/>
  <c r="E1587" i="17"/>
  <c r="E1587" i="24"/>
  <c r="N1202" i="7"/>
  <c r="F1202" i="17"/>
  <c r="M1202" i="7"/>
  <c r="E1202" i="17"/>
  <c r="M24" i="7"/>
  <c r="E24" i="17"/>
  <c r="N24" i="7"/>
  <c r="F24" i="17"/>
  <c r="F24" i="24"/>
  <c r="N490" i="7"/>
  <c r="F490" i="17"/>
  <c r="M490" i="7"/>
  <c r="E490" i="17"/>
  <c r="N1447" i="7"/>
  <c r="F1447" i="17"/>
  <c r="M1447" i="7"/>
  <c r="E1447" i="17"/>
  <c r="E1447" i="24"/>
  <c r="N1621" i="7"/>
  <c r="F1621" i="17"/>
  <c r="M1621" i="7"/>
  <c r="E1621" i="17"/>
  <c r="N215" i="7"/>
  <c r="F215" i="17"/>
  <c r="M215" i="7"/>
  <c r="E215" i="17"/>
  <c r="E215" i="24"/>
  <c r="N559" i="7"/>
  <c r="F559" i="17"/>
  <c r="M559" i="7"/>
  <c r="E559" i="17"/>
  <c r="N105" i="7"/>
  <c r="F105" i="17"/>
  <c r="M105" i="7"/>
  <c r="E105" i="17"/>
  <c r="E105" i="24"/>
  <c r="M538" i="7"/>
  <c r="E538" i="17"/>
  <c r="N538" i="7"/>
  <c r="F538" i="17"/>
  <c r="M711" i="7"/>
  <c r="E711" i="17"/>
  <c r="N711" i="7"/>
  <c r="F711" i="17"/>
  <c r="F711" i="24"/>
  <c r="M1120" i="7"/>
  <c r="E1120" i="17"/>
  <c r="N1120" i="7"/>
  <c r="F1120" i="17"/>
  <c r="M751" i="7"/>
  <c r="E751" i="17"/>
  <c r="N751" i="7"/>
  <c r="F751" i="17"/>
  <c r="F751" i="24"/>
  <c r="N246" i="7"/>
  <c r="M246" i="7"/>
  <c r="N539" i="7"/>
  <c r="F539" i="17"/>
  <c r="M539" i="7"/>
  <c r="E539" i="17"/>
  <c r="E539" i="24"/>
  <c r="M470" i="7"/>
  <c r="E470" i="17"/>
  <c r="N470" i="7"/>
  <c r="F470" i="17"/>
  <c r="M1583" i="7"/>
  <c r="E1583" i="17"/>
  <c r="N1583" i="7"/>
  <c r="F1583" i="17"/>
  <c r="F1583" i="24"/>
  <c r="M963" i="7"/>
  <c r="E963" i="17"/>
  <c r="N963" i="7"/>
  <c r="F963" i="17"/>
  <c r="M117" i="7"/>
  <c r="E117" i="17"/>
  <c r="N117" i="7"/>
  <c r="F117" i="17"/>
  <c r="F117" i="24"/>
  <c r="M18" i="7"/>
  <c r="E18" i="17"/>
  <c r="N18" i="7"/>
  <c r="F18" i="17"/>
  <c r="N260" i="7"/>
  <c r="F260" i="17"/>
  <c r="M260" i="7"/>
  <c r="E260" i="17"/>
  <c r="E260" i="24"/>
  <c r="M599" i="7"/>
  <c r="N599" i="7"/>
  <c r="M1347" i="7"/>
  <c r="E1347" i="17"/>
  <c r="N1347" i="7"/>
  <c r="F1347" i="17"/>
  <c r="F1347" i="24"/>
  <c r="N401" i="7"/>
  <c r="F401" i="17"/>
  <c r="M401" i="7"/>
  <c r="E401" i="17"/>
  <c r="N19" i="7"/>
  <c r="F19" i="17"/>
  <c r="M19" i="7"/>
  <c r="E19" i="17"/>
  <c r="E19" i="24"/>
  <c r="M1529" i="7"/>
  <c r="E1529" i="17"/>
  <c r="N1529" i="7"/>
  <c r="F1529" i="17"/>
  <c r="M218" i="7"/>
  <c r="E218" i="17"/>
  <c r="N218" i="7"/>
  <c r="F218" i="17"/>
  <c r="F218" i="24"/>
  <c r="N210" i="7"/>
  <c r="F210" i="17"/>
  <c r="M210" i="7"/>
  <c r="E210" i="17"/>
  <c r="N191" i="7"/>
  <c r="F191" i="17"/>
  <c r="M191" i="7"/>
  <c r="E191" i="17"/>
  <c r="E191" i="24"/>
  <c r="N1216" i="7"/>
  <c r="F1216" i="17"/>
  <c r="M1216" i="7"/>
  <c r="E1216" i="17"/>
  <c r="M1064" i="7"/>
  <c r="E1064" i="17"/>
  <c r="N1064" i="7"/>
  <c r="F1064" i="17"/>
  <c r="F1064" i="24"/>
  <c r="N472" i="7"/>
  <c r="F472" i="17"/>
  <c r="M472" i="7"/>
  <c r="E472" i="17"/>
  <c r="N798" i="7"/>
  <c r="F798" i="17"/>
  <c r="M798" i="7"/>
  <c r="E798" i="17"/>
  <c r="E798" i="24"/>
  <c r="M612" i="7"/>
  <c r="E612" i="17"/>
  <c r="N612" i="7"/>
  <c r="F612" i="17"/>
  <c r="M1630" i="7"/>
  <c r="E1630" i="17"/>
  <c r="N1630" i="7"/>
  <c r="F1630" i="17"/>
  <c r="F1630" i="24"/>
  <c r="N515" i="7"/>
  <c r="F515" i="17"/>
  <c r="M515" i="7"/>
  <c r="E515" i="17"/>
  <c r="M1573" i="7"/>
  <c r="E1573" i="17"/>
  <c r="N1573" i="7"/>
  <c r="F1573" i="17"/>
  <c r="F1573" i="24"/>
  <c r="M1000" i="7"/>
  <c r="E1000" i="17"/>
  <c r="N1000" i="7"/>
  <c r="F1000" i="17"/>
  <c r="N1018" i="7"/>
  <c r="F1018" i="17"/>
  <c r="M1018" i="7"/>
  <c r="E1018" i="17"/>
  <c r="E1018" i="24"/>
  <c r="M128" i="7"/>
  <c r="E128" i="17"/>
  <c r="N128" i="7"/>
  <c r="F128" i="17"/>
  <c r="M269" i="7"/>
  <c r="E269" i="17"/>
  <c r="N269" i="7"/>
  <c r="F269" i="17"/>
  <c r="F269" i="24"/>
  <c r="M1560" i="7"/>
  <c r="E1560" i="17"/>
  <c r="N1560" i="7"/>
  <c r="F1560" i="17"/>
  <c r="M410" i="7"/>
  <c r="E410" i="17"/>
  <c r="N410" i="7"/>
  <c r="F410" i="17"/>
  <c r="F410" i="24"/>
  <c r="M1056" i="7"/>
  <c r="E1056" i="17"/>
  <c r="N1056" i="7"/>
  <c r="F1056" i="17"/>
  <c r="N494" i="7"/>
  <c r="F494" i="17"/>
  <c r="M494" i="7"/>
  <c r="E494" i="17"/>
  <c r="E494" i="24"/>
  <c r="N992" i="7"/>
  <c r="F992" i="17"/>
  <c r="M992" i="7"/>
  <c r="E992" i="17"/>
  <c r="N68" i="7"/>
  <c r="F68" i="17"/>
  <c r="M68" i="7"/>
  <c r="E68" i="17"/>
  <c r="E68" i="24"/>
  <c r="N32" i="7"/>
  <c r="F32" i="17"/>
  <c r="M32" i="7"/>
  <c r="E32" i="17"/>
  <c r="M526" i="7"/>
  <c r="N526" i="7"/>
  <c r="M607" i="7"/>
  <c r="E607" i="17"/>
  <c r="N607" i="7"/>
  <c r="F607" i="17"/>
  <c r="M1410" i="7"/>
  <c r="E1410" i="17"/>
  <c r="N1410" i="7"/>
  <c r="F1410" i="17"/>
  <c r="F1410" i="24"/>
  <c r="M1543" i="7"/>
  <c r="E1543" i="17"/>
  <c r="N1543" i="7"/>
  <c r="F1543" i="17"/>
  <c r="M1346" i="7"/>
  <c r="E1346" i="17"/>
  <c r="N1346" i="7"/>
  <c r="F1346" i="17"/>
  <c r="F1346" i="24"/>
  <c r="M1024" i="7"/>
  <c r="E1024" i="17"/>
  <c r="N1024" i="7"/>
  <c r="F1024" i="17"/>
  <c r="M377" i="7"/>
  <c r="E377" i="17"/>
  <c r="N377" i="7"/>
  <c r="F377" i="17"/>
  <c r="F377" i="24"/>
  <c r="N1215" i="7"/>
  <c r="F1215" i="17"/>
  <c r="M1215" i="7"/>
  <c r="E1215" i="17"/>
  <c r="M664" i="7"/>
  <c r="E664" i="17"/>
  <c r="N664" i="7"/>
  <c r="F664" i="17"/>
  <c r="F664" i="24"/>
  <c r="N552" i="7"/>
  <c r="F552" i="17"/>
  <c r="M552" i="7"/>
  <c r="E552" i="17"/>
  <c r="N1485" i="7"/>
  <c r="F1485" i="17"/>
  <c r="M1485" i="7"/>
  <c r="E1485" i="17"/>
  <c r="E1485" i="24"/>
  <c r="N306" i="7"/>
  <c r="F306" i="17"/>
  <c r="M306" i="7"/>
  <c r="E306" i="17"/>
  <c r="N124" i="7"/>
  <c r="F124" i="17"/>
  <c r="M124" i="7"/>
  <c r="E124" i="17"/>
  <c r="E124" i="24"/>
  <c r="M72" i="7"/>
  <c r="E72" i="17"/>
  <c r="N72" i="7"/>
  <c r="F72" i="17"/>
  <c r="N662" i="7"/>
  <c r="F662" i="17"/>
  <c r="M662" i="7"/>
  <c r="E662" i="17"/>
  <c r="E662" i="24"/>
  <c r="M1058" i="7"/>
  <c r="E1058" i="17"/>
  <c r="N1058" i="7"/>
  <c r="F1058" i="17"/>
  <c r="M1233" i="7"/>
  <c r="E1233" i="17"/>
  <c r="N1233" i="7"/>
  <c r="F1233" i="17"/>
  <c r="F1233" i="24"/>
  <c r="N248" i="7"/>
  <c r="F248" i="17"/>
  <c r="M248" i="7"/>
  <c r="E248" i="17"/>
  <c r="M395" i="7"/>
  <c r="E395" i="17"/>
  <c r="N395" i="7"/>
  <c r="F395" i="17"/>
  <c r="F395" i="24"/>
  <c r="M1426" i="7"/>
  <c r="E1426" i="17"/>
  <c r="N1426" i="7"/>
  <c r="F1426" i="17"/>
  <c r="N870" i="7"/>
  <c r="F870" i="17"/>
  <c r="M870" i="7"/>
  <c r="E870" i="17"/>
  <c r="E870" i="24"/>
  <c r="N1562" i="7"/>
  <c r="F1562" i="17"/>
  <c r="M1562" i="7"/>
  <c r="E1562" i="17"/>
  <c r="M1639" i="7"/>
  <c r="E1639" i="17"/>
  <c r="N1639" i="7"/>
  <c r="F1639" i="17"/>
  <c r="F1639" i="24"/>
  <c r="N951" i="7"/>
  <c r="F951" i="17"/>
  <c r="M951" i="7"/>
  <c r="E951" i="17"/>
  <c r="M637" i="7"/>
  <c r="E637" i="17"/>
  <c r="N637" i="7"/>
  <c r="F637" i="17"/>
  <c r="F637" i="24"/>
  <c r="M229" i="7"/>
  <c r="E229" i="17"/>
  <c r="N229" i="7"/>
  <c r="F229" i="17"/>
  <c r="M738" i="7"/>
  <c r="E738" i="17"/>
  <c r="N738" i="7"/>
  <c r="F738" i="17"/>
  <c r="F738" i="24"/>
  <c r="M897" i="7"/>
  <c r="E897" i="17"/>
  <c r="N897" i="7"/>
  <c r="F897" i="17"/>
  <c r="N172" i="7"/>
  <c r="F172" i="17"/>
  <c r="M172" i="7"/>
  <c r="E172" i="17"/>
  <c r="E172" i="24"/>
  <c r="M365" i="7"/>
  <c r="E365" i="17"/>
  <c r="N365" i="7"/>
  <c r="F365" i="17"/>
  <c r="N132" i="7"/>
  <c r="F132" i="17"/>
  <c r="M132" i="7"/>
  <c r="E132" i="17"/>
  <c r="E132" i="24"/>
  <c r="N1138" i="7"/>
  <c r="F1138" i="17"/>
  <c r="M1138" i="7"/>
  <c r="E1138" i="17"/>
  <c r="N613" i="7"/>
  <c r="F613" i="17"/>
  <c r="M613" i="7"/>
  <c r="E613" i="17"/>
  <c r="E613" i="24"/>
  <c r="M533" i="7"/>
  <c r="E533" i="17"/>
  <c r="N533" i="7"/>
  <c r="F533" i="17"/>
  <c r="N1323" i="7"/>
  <c r="F1323" i="17"/>
  <c r="M1323" i="7"/>
  <c r="E1323" i="17"/>
  <c r="E1323" i="24"/>
  <c r="N318" i="7"/>
  <c r="F318" i="17"/>
  <c r="M318" i="7"/>
  <c r="E318" i="17"/>
  <c r="M1139" i="7"/>
  <c r="E1139" i="17"/>
  <c r="N1139" i="7"/>
  <c r="F1139" i="17"/>
  <c r="F1139" i="24"/>
  <c r="M1103" i="7"/>
  <c r="E1103" i="17"/>
  <c r="N1103" i="7"/>
  <c r="F1103" i="17"/>
  <c r="M513" i="7"/>
  <c r="E513" i="17"/>
  <c r="N513" i="7"/>
  <c r="F513" i="17"/>
  <c r="F513" i="24"/>
  <c r="M482" i="7"/>
  <c r="E482" i="17"/>
  <c r="N482" i="7"/>
  <c r="F482" i="17"/>
  <c r="N629" i="7"/>
  <c r="F629" i="17"/>
  <c r="M629" i="7"/>
  <c r="E629" i="17"/>
  <c r="E629" i="24"/>
  <c r="N545" i="7"/>
  <c r="F545" i="17"/>
  <c r="M545" i="7"/>
  <c r="E545" i="17"/>
  <c r="M231" i="7"/>
  <c r="E231" i="17"/>
  <c r="N231" i="7"/>
  <c r="F231" i="17"/>
  <c r="F231" i="24"/>
  <c r="M214" i="7"/>
  <c r="E214" i="17"/>
  <c r="N214" i="7"/>
  <c r="F214" i="17"/>
  <c r="M1154" i="7"/>
  <c r="N1154" i="7"/>
  <c r="M361" i="7"/>
  <c r="E361" i="17"/>
  <c r="N361" i="7"/>
  <c r="F361" i="17"/>
  <c r="M1020" i="7"/>
  <c r="E1020" i="17"/>
  <c r="N1020" i="7"/>
  <c r="F1020" i="17"/>
  <c r="F1020" i="24"/>
  <c r="N749" i="7"/>
  <c r="F749" i="17"/>
  <c r="M749" i="7"/>
  <c r="E749" i="17"/>
  <c r="M1400" i="7"/>
  <c r="E1400" i="17"/>
  <c r="N1400" i="7"/>
  <c r="F1400" i="17"/>
  <c r="F1400" i="24"/>
  <c r="M52" i="7"/>
  <c r="E52" i="17"/>
  <c r="N52" i="7"/>
  <c r="F52" i="17"/>
  <c r="M724" i="7"/>
  <c r="E724" i="17"/>
  <c r="N724" i="7"/>
  <c r="F724" i="17"/>
  <c r="F724" i="24"/>
  <c r="M261" i="7"/>
  <c r="E261" i="17"/>
  <c r="N261" i="7"/>
  <c r="F261" i="17"/>
  <c r="M1612" i="7"/>
  <c r="E1612" i="17"/>
  <c r="N1612" i="7"/>
  <c r="F1612" i="17"/>
  <c r="F1612" i="24"/>
  <c r="M1508" i="7"/>
  <c r="E1508" i="17"/>
  <c r="N1508" i="7"/>
  <c r="F1508" i="17"/>
  <c r="M1449" i="7"/>
  <c r="E1449" i="17"/>
  <c r="N1449" i="7"/>
  <c r="F1449" i="17"/>
  <c r="F1449" i="24"/>
  <c r="N469" i="7"/>
  <c r="F469" i="17"/>
  <c r="M469" i="7"/>
  <c r="E469" i="17"/>
  <c r="M1555" i="7"/>
  <c r="E1555" i="17"/>
  <c r="N1555" i="7"/>
  <c r="F1555" i="17"/>
  <c r="F1555" i="24"/>
  <c r="N1301" i="7"/>
  <c r="F1301" i="17"/>
  <c r="M1301" i="7"/>
  <c r="E1301" i="17"/>
  <c r="N1657" i="7"/>
  <c r="F1657" i="17"/>
  <c r="M1657" i="7"/>
  <c r="E1657" i="17"/>
  <c r="E1657" i="24"/>
  <c r="N1109" i="7"/>
  <c r="F1109" i="17"/>
  <c r="M1109" i="7"/>
  <c r="E1109" i="17"/>
  <c r="N497" i="7"/>
  <c r="F497" i="17"/>
  <c r="M497" i="7"/>
  <c r="E497" i="17"/>
  <c r="E497" i="24"/>
  <c r="M567" i="7"/>
  <c r="E567" i="17"/>
  <c r="N567" i="7"/>
  <c r="F567" i="17"/>
  <c r="M1500" i="7"/>
  <c r="E1500" i="17"/>
  <c r="N1500" i="7"/>
  <c r="F1500" i="17"/>
  <c r="F1500" i="24"/>
  <c r="M1118" i="7"/>
  <c r="E1118" i="17"/>
  <c r="N1118" i="7"/>
  <c r="F1118" i="17"/>
  <c r="N285" i="7"/>
  <c r="F285" i="17"/>
  <c r="M285" i="7"/>
  <c r="E285" i="17"/>
  <c r="E285" i="24"/>
  <c r="N430" i="7"/>
  <c r="F430" i="17"/>
  <c r="M430" i="7"/>
  <c r="E430" i="17"/>
  <c r="M1060" i="7"/>
  <c r="E1060" i="17"/>
  <c r="N1060" i="7"/>
  <c r="F1060" i="17"/>
  <c r="F1060" i="24"/>
  <c r="M1641" i="7"/>
  <c r="E1641" i="17"/>
  <c r="N1641" i="7"/>
  <c r="F1641" i="17"/>
  <c r="N1636" i="7"/>
  <c r="F1636" i="17"/>
  <c r="M1636" i="7"/>
  <c r="E1636" i="17"/>
  <c r="E1636" i="24"/>
  <c r="N283" i="7"/>
  <c r="F283" i="17"/>
  <c r="M283" i="7"/>
  <c r="E283" i="17"/>
  <c r="M1516" i="7"/>
  <c r="E1516" i="17"/>
  <c r="N1516" i="7"/>
  <c r="F1516" i="17"/>
  <c r="F1516" i="24"/>
  <c r="M1640" i="7"/>
  <c r="E1640" i="17"/>
  <c r="N1640" i="7"/>
  <c r="F1640" i="17"/>
  <c r="M805" i="7"/>
  <c r="E805" i="17"/>
  <c r="N805" i="7"/>
  <c r="F805" i="17"/>
  <c r="F805" i="24"/>
  <c r="N259" i="7"/>
  <c r="F259" i="17"/>
  <c r="M259" i="7"/>
  <c r="E259" i="17"/>
  <c r="N1121" i="7"/>
  <c r="F1121" i="17"/>
  <c r="M1121" i="7"/>
  <c r="E1121" i="17"/>
  <c r="E1121" i="24"/>
  <c r="M685" i="7"/>
  <c r="E685" i="17"/>
  <c r="N685" i="7"/>
  <c r="F685" i="17"/>
  <c r="M349" i="7"/>
  <c r="E349" i="17"/>
  <c r="N349" i="7"/>
  <c r="F349" i="17"/>
  <c r="F349" i="24"/>
  <c r="N972" i="7"/>
  <c r="F972" i="17"/>
  <c r="M972" i="7"/>
  <c r="E972" i="17"/>
  <c r="M1348" i="7"/>
  <c r="E1348" i="17"/>
  <c r="N1348" i="7"/>
  <c r="F1348" i="17"/>
  <c r="F1348" i="24"/>
  <c r="M642" i="7"/>
  <c r="E642" i="17"/>
  <c r="N642" i="7"/>
  <c r="F642" i="17"/>
  <c r="N1318" i="7"/>
  <c r="F1318" i="17"/>
  <c r="M1318" i="7"/>
  <c r="E1318" i="17"/>
  <c r="E1318" i="24"/>
  <c r="N1628" i="7"/>
  <c r="F1628" i="17"/>
  <c r="M1628" i="7"/>
  <c r="E1628" i="17"/>
  <c r="M554" i="7"/>
  <c r="E554" i="17"/>
  <c r="N554" i="7"/>
  <c r="F554" i="17"/>
  <c r="F554" i="24"/>
  <c r="N977" i="7"/>
  <c r="F977" i="17"/>
  <c r="M977" i="7"/>
  <c r="E977" i="17"/>
  <c r="M663" i="7"/>
  <c r="E663" i="17"/>
  <c r="N663" i="7"/>
  <c r="F663" i="17"/>
  <c r="F663" i="24"/>
  <c r="N1287" i="7"/>
  <c r="F1287" i="17"/>
  <c r="M1287" i="7"/>
  <c r="E1287" i="17"/>
  <c r="M1650" i="7"/>
  <c r="E1650" i="17"/>
  <c r="N1650" i="7"/>
  <c r="F1650" i="17"/>
  <c r="F1650" i="24"/>
  <c r="M1425" i="7"/>
  <c r="E1425" i="17"/>
  <c r="N1425" i="7"/>
  <c r="F1425" i="17"/>
  <c r="M1051" i="7"/>
  <c r="E1051" i="17"/>
  <c r="N1051" i="7"/>
  <c r="F1051" i="17"/>
  <c r="F1051" i="24"/>
  <c r="M202" i="7"/>
  <c r="E202" i="17"/>
  <c r="N202" i="7"/>
  <c r="F202" i="17"/>
  <c r="M638" i="7"/>
  <c r="E638" i="17"/>
  <c r="N638" i="7"/>
  <c r="F638" i="17"/>
  <c r="F638" i="24"/>
  <c r="M15" i="7"/>
  <c r="N15" i="7"/>
  <c r="M656" i="7"/>
  <c r="E656" i="17"/>
  <c r="N656" i="7"/>
  <c r="F656" i="17"/>
  <c r="F656" i="24"/>
  <c r="N1368" i="7"/>
  <c r="F1368" i="17"/>
  <c r="M1368" i="7"/>
  <c r="E1368" i="17"/>
  <c r="N560" i="7"/>
  <c r="F560" i="17"/>
  <c r="M560" i="7"/>
  <c r="E560" i="17"/>
  <c r="E560" i="24"/>
  <c r="M809" i="7"/>
  <c r="E809" i="17"/>
  <c r="N809" i="7"/>
  <c r="F809" i="17"/>
  <c r="M154" i="7"/>
  <c r="E154" i="17"/>
  <c r="N154" i="7"/>
  <c r="F154" i="17"/>
  <c r="F154" i="24"/>
  <c r="N815" i="7"/>
  <c r="F815" i="17"/>
  <c r="M815" i="7"/>
  <c r="E815" i="17"/>
  <c r="N382" i="7"/>
  <c r="F382" i="17"/>
  <c r="M382" i="7"/>
  <c r="E382" i="17"/>
  <c r="E382" i="24"/>
  <c r="M1246" i="7"/>
  <c r="E1246" i="17"/>
  <c r="N1246" i="7"/>
  <c r="F1246" i="17"/>
  <c r="M393" i="7"/>
  <c r="E393" i="17"/>
  <c r="N393" i="7"/>
  <c r="F393" i="17"/>
  <c r="F393" i="24"/>
  <c r="N331" i="7"/>
  <c r="F331" i="17"/>
  <c r="M331" i="7"/>
  <c r="E331" i="17"/>
  <c r="M1497" i="7"/>
  <c r="E1497" i="17"/>
  <c r="N1497" i="7"/>
  <c r="F1497" i="17"/>
  <c r="F1497" i="24"/>
  <c r="M922" i="7"/>
  <c r="E922" i="17"/>
  <c r="N922" i="7"/>
  <c r="F922" i="17"/>
  <c r="N486" i="7"/>
  <c r="F486" i="17"/>
  <c r="M486" i="7"/>
  <c r="E486" i="17"/>
  <c r="E486" i="24"/>
  <c r="N97" i="7"/>
  <c r="F97" i="17"/>
  <c r="M97" i="7"/>
  <c r="E97" i="17"/>
  <c r="M1527" i="7"/>
  <c r="E1527" i="17"/>
  <c r="N1527" i="7"/>
  <c r="F1527" i="17"/>
  <c r="F1527" i="24"/>
  <c r="N1548" i="7"/>
  <c r="F1548" i="17"/>
  <c r="M1548" i="7"/>
  <c r="E1548" i="17"/>
  <c r="N577" i="7"/>
  <c r="F577" i="17"/>
  <c r="M577" i="7"/>
  <c r="E577" i="17"/>
  <c r="E577" i="24"/>
  <c r="M619" i="7"/>
  <c r="E619" i="17"/>
  <c r="N619" i="7"/>
  <c r="F619" i="17"/>
  <c r="M27" i="7"/>
  <c r="E27" i="17"/>
  <c r="N27" i="7"/>
  <c r="F27" i="17"/>
  <c r="F27" i="24"/>
  <c r="M1191" i="7"/>
  <c r="E1191" i="17"/>
  <c r="N1191" i="7"/>
  <c r="F1191" i="17"/>
  <c r="N946" i="7"/>
  <c r="F946" i="17"/>
  <c r="M946" i="7"/>
  <c r="E946" i="17"/>
  <c r="E946" i="24"/>
  <c r="M431" i="7"/>
  <c r="E431" i="17"/>
  <c r="N431" i="7"/>
  <c r="F431" i="17"/>
  <c r="N974" i="7"/>
  <c r="F974" i="17"/>
  <c r="M974" i="7"/>
  <c r="E974" i="17"/>
  <c r="E974" i="24"/>
  <c r="N36" i="7"/>
  <c r="F36" i="17"/>
  <c r="M36" i="7"/>
  <c r="E36" i="17"/>
  <c r="M1040" i="7"/>
  <c r="E1040" i="17"/>
  <c r="N1040" i="7"/>
  <c r="F1040" i="17"/>
  <c r="F1040" i="24"/>
  <c r="M1102" i="7"/>
  <c r="E1102" i="17"/>
  <c r="N1102" i="7"/>
  <c r="F1102" i="17"/>
  <c r="N1389" i="7"/>
  <c r="F1389" i="17"/>
  <c r="M1389" i="7"/>
  <c r="E1389" i="17"/>
  <c r="E1389" i="24"/>
  <c r="N819" i="7"/>
  <c r="F819" i="17"/>
  <c r="M819" i="7"/>
  <c r="E819" i="17"/>
  <c r="M493" i="7"/>
  <c r="E493" i="17"/>
  <c r="N493" i="7"/>
  <c r="F493" i="17"/>
  <c r="F493" i="24"/>
  <c r="N1280" i="7"/>
  <c r="F1280" i="17"/>
  <c r="M1280" i="7"/>
  <c r="E1280" i="17"/>
  <c r="N1380" i="7"/>
  <c r="F1380" i="17"/>
  <c r="M1380" i="7"/>
  <c r="E1380" i="17"/>
  <c r="E1380" i="24"/>
  <c r="N1316" i="7"/>
  <c r="F1316" i="17"/>
  <c r="M1316" i="7"/>
  <c r="E1316" i="17"/>
  <c r="N943" i="7"/>
  <c r="F943" i="17"/>
  <c r="M943" i="7"/>
  <c r="E943" i="17"/>
  <c r="E943" i="24"/>
  <c r="M942" i="7"/>
  <c r="E942" i="17"/>
  <c r="N942" i="7"/>
  <c r="F942" i="17"/>
  <c r="M532" i="7"/>
  <c r="E532" i="17"/>
  <c r="N532" i="7"/>
  <c r="F532" i="17"/>
  <c r="F532" i="24"/>
  <c r="N1499" i="7"/>
  <c r="F1499" i="17"/>
  <c r="M1499" i="7"/>
  <c r="E1499" i="17"/>
  <c r="M967" i="7"/>
  <c r="E967" i="17"/>
  <c r="N967" i="7"/>
  <c r="F967" i="17"/>
  <c r="F967" i="24"/>
  <c r="M1378" i="7"/>
  <c r="E1378" i="17"/>
  <c r="N1378" i="7"/>
  <c r="F1378" i="17"/>
  <c r="N1582" i="7"/>
  <c r="F1582" i="17"/>
  <c r="M1582" i="7"/>
  <c r="E1582" i="17"/>
  <c r="E1582" i="24"/>
  <c r="M98" i="7"/>
  <c r="E98" i="17"/>
  <c r="N98" i="7"/>
  <c r="F98" i="17"/>
  <c r="N968" i="7"/>
  <c r="F968" i="17"/>
  <c r="M968" i="7"/>
  <c r="E968" i="17"/>
  <c r="E968" i="24"/>
  <c r="N712" i="7"/>
  <c r="F712" i="17"/>
  <c r="M712" i="7"/>
  <c r="E712" i="17"/>
  <c r="N822" i="7"/>
  <c r="F822" i="17"/>
  <c r="M822" i="7"/>
  <c r="E822" i="17"/>
  <c r="E822" i="24"/>
  <c r="M1601" i="7"/>
  <c r="N1601" i="7"/>
  <c r="N1082" i="7"/>
  <c r="F1082" i="17"/>
  <c r="M1082" i="7"/>
  <c r="E1082" i="17"/>
  <c r="E1082" i="24"/>
  <c r="M129" i="7"/>
  <c r="E129" i="17"/>
  <c r="N129" i="7"/>
  <c r="F129" i="17"/>
  <c r="N796" i="7"/>
  <c r="F796" i="17"/>
  <c r="M796" i="7"/>
  <c r="E796" i="17"/>
  <c r="E796" i="24"/>
  <c r="N1505" i="7"/>
  <c r="F1505" i="17"/>
  <c r="M1505" i="7"/>
  <c r="E1505" i="17"/>
  <c r="N933" i="7"/>
  <c r="F933" i="17"/>
  <c r="M933" i="7"/>
  <c r="E933" i="17"/>
  <c r="E933" i="24"/>
  <c r="N54" i="7"/>
  <c r="F54" i="17"/>
  <c r="M54" i="7"/>
  <c r="E54" i="17"/>
  <c r="M258" i="7"/>
  <c r="E258" i="17"/>
  <c r="N258" i="7"/>
  <c r="F258" i="17"/>
  <c r="F258" i="24"/>
  <c r="N1159" i="7"/>
  <c r="F1159" i="17"/>
  <c r="M1159" i="7"/>
  <c r="E1159" i="17"/>
  <c r="M1374" i="7"/>
  <c r="E1374" i="17"/>
  <c r="N1374" i="7"/>
  <c r="F1374" i="17"/>
  <c r="F1374" i="24"/>
  <c r="M403" i="7"/>
  <c r="E403" i="17"/>
  <c r="N403" i="7"/>
  <c r="F403" i="17"/>
  <c r="N457" i="7"/>
  <c r="F457" i="17"/>
  <c r="M457" i="7"/>
  <c r="E457" i="17"/>
  <c r="E457" i="24"/>
  <c r="M1212" i="7"/>
  <c r="L1211" i="7"/>
  <c r="N1212" i="7"/>
  <c r="M952" i="7"/>
  <c r="E952" i="17"/>
  <c r="N952" i="7"/>
  <c r="F952" i="17"/>
  <c r="N955" i="7"/>
  <c r="F955" i="17"/>
  <c r="M955" i="7"/>
  <c r="E955" i="17"/>
  <c r="N1090" i="7"/>
  <c r="F1090" i="17"/>
  <c r="M1090" i="7"/>
  <c r="E1090" i="17"/>
  <c r="N1107" i="7"/>
  <c r="F1107" i="17"/>
  <c r="M1107" i="7"/>
  <c r="E1107" i="17"/>
  <c r="M45" i="7"/>
  <c r="E45" i="17"/>
  <c r="N45" i="7"/>
  <c r="F45" i="17"/>
  <c r="M960" i="7"/>
  <c r="E960" i="17"/>
  <c r="N960" i="7"/>
  <c r="F960" i="17"/>
  <c r="M991" i="7"/>
  <c r="E991" i="17"/>
  <c r="N991" i="7"/>
  <c r="F991" i="17"/>
  <c r="M1184" i="7"/>
  <c r="E1184" i="17"/>
  <c r="N1184" i="7"/>
  <c r="F1184" i="17"/>
  <c r="M60" i="7"/>
  <c r="E60" i="17"/>
  <c r="N60" i="7"/>
  <c r="F60" i="17"/>
  <c r="M102" i="7"/>
  <c r="E102" i="17"/>
  <c r="N102" i="7"/>
  <c r="F102" i="17"/>
  <c r="N895" i="7"/>
  <c r="F895" i="17"/>
  <c r="M895" i="7"/>
  <c r="E895" i="17"/>
  <c r="M1214" i="7"/>
  <c r="E1214" i="17"/>
  <c r="N1214" i="7"/>
  <c r="F1214" i="17"/>
  <c r="M757" i="7"/>
  <c r="E757" i="17"/>
  <c r="N757" i="7"/>
  <c r="F757" i="17"/>
  <c r="N1581" i="7"/>
  <c r="F1581" i="17"/>
  <c r="M1581" i="7"/>
  <c r="E1581" i="17"/>
  <c r="N1416" i="7"/>
  <c r="F1416" i="17"/>
  <c r="M1416" i="7"/>
  <c r="E1416" i="17"/>
  <c r="N614" i="7"/>
  <c r="F614" i="17"/>
  <c r="M614" i="7"/>
  <c r="E614" i="17"/>
  <c r="N1114" i="7"/>
  <c r="F1114" i="17"/>
  <c r="M1114" i="7"/>
  <c r="E1114" i="17"/>
  <c r="M451" i="7"/>
  <c r="E451" i="17"/>
  <c r="N451" i="7"/>
  <c r="F451" i="17"/>
  <c r="M1578" i="7"/>
  <c r="E1578" i="17"/>
  <c r="N1578" i="7"/>
  <c r="F1578" i="17"/>
  <c r="M618" i="7"/>
  <c r="E618" i="17"/>
  <c r="N618" i="7"/>
  <c r="F618" i="17"/>
  <c r="M543" i="7"/>
  <c r="E543" i="17"/>
  <c r="N543" i="7"/>
  <c r="F543" i="17"/>
  <c r="N580" i="7"/>
  <c r="F580" i="17"/>
  <c r="M580" i="7"/>
  <c r="E580" i="17"/>
  <c r="M249" i="7"/>
  <c r="E249" i="17"/>
  <c r="N249" i="7"/>
  <c r="F249" i="17"/>
  <c r="N1624" i="7"/>
  <c r="F1624" i="17"/>
  <c r="M1624" i="7"/>
  <c r="E1624" i="17"/>
  <c r="N121" i="7"/>
  <c r="F121" i="17"/>
  <c r="M121" i="7"/>
  <c r="E121" i="17"/>
  <c r="M647" i="7"/>
  <c r="E647" i="17"/>
  <c r="N647" i="7"/>
  <c r="F647" i="17"/>
  <c r="M1366" i="7"/>
  <c r="E1366" i="17"/>
  <c r="N1366" i="7"/>
  <c r="F1366" i="17"/>
  <c r="M1088" i="7"/>
  <c r="E1088" i="17"/>
  <c r="N1088" i="7"/>
  <c r="F1088" i="17"/>
  <c r="M1478" i="7"/>
  <c r="E1478" i="17"/>
  <c r="N1478" i="7"/>
  <c r="F1478" i="17"/>
  <c r="M1129" i="7"/>
  <c r="E1129" i="17"/>
  <c r="N1129" i="7"/>
  <c r="F1129" i="17"/>
  <c r="M887" i="7"/>
  <c r="E887" i="17"/>
  <c r="N887" i="7"/>
  <c r="F887" i="17"/>
  <c r="M425" i="7"/>
  <c r="E425" i="17"/>
  <c r="N425" i="7"/>
  <c r="F425" i="17"/>
  <c r="M1091" i="7"/>
  <c r="E1091" i="17"/>
  <c r="N1091" i="7"/>
  <c r="F1091" i="17"/>
  <c r="M1523" i="7"/>
  <c r="E1523" i="17"/>
  <c r="N1523" i="7"/>
  <c r="F1523" i="17"/>
  <c r="N937" i="7"/>
  <c r="F937" i="17"/>
  <c r="M937" i="7"/>
  <c r="E937" i="17"/>
  <c r="M1237" i="7"/>
  <c r="E1237" i="17"/>
  <c r="N1237" i="7"/>
  <c r="F1237" i="17"/>
  <c r="M863" i="7"/>
  <c r="E863" i="17"/>
  <c r="N863" i="7"/>
  <c r="F863" i="17"/>
  <c r="M558" i="7"/>
  <c r="E558" i="17"/>
  <c r="N558" i="7"/>
  <c r="F558" i="17"/>
  <c r="N645" i="7"/>
  <c r="F645" i="17"/>
  <c r="M645" i="7"/>
  <c r="E645" i="17"/>
  <c r="M178" i="7"/>
  <c r="E178" i="17"/>
  <c r="N178" i="7"/>
  <c r="F178" i="17"/>
  <c r="N1192" i="7"/>
  <c r="F1192" i="17"/>
  <c r="M1192" i="7"/>
  <c r="E1192" i="17"/>
  <c r="M803" i="7"/>
  <c r="E803" i="17"/>
  <c r="N803" i="7"/>
  <c r="F803" i="17"/>
  <c r="N384" i="7"/>
  <c r="F384" i="17"/>
  <c r="M384" i="7"/>
  <c r="E384" i="17"/>
  <c r="M1161" i="7"/>
  <c r="E1161" i="17"/>
  <c r="N1161" i="7"/>
  <c r="F1161" i="17"/>
  <c r="M344" i="7"/>
  <c r="E344" i="17"/>
  <c r="N344" i="7"/>
  <c r="F344" i="17"/>
  <c r="M169" i="7"/>
  <c r="E169" i="17"/>
  <c r="N169" i="7"/>
  <c r="F169" i="17"/>
  <c r="M830" i="7"/>
  <c r="E830" i="17"/>
  <c r="N830" i="7"/>
  <c r="F830" i="17"/>
  <c r="N86" i="7"/>
  <c r="M86" i="7"/>
  <c r="M406" i="7"/>
  <c r="E406" i="17"/>
  <c r="N406" i="7"/>
  <c r="F406" i="17"/>
  <c r="N812" i="7"/>
  <c r="F812" i="17"/>
  <c r="M812" i="7"/>
  <c r="E812" i="17"/>
  <c r="M585" i="7"/>
  <c r="E585" i="17"/>
  <c r="N585" i="7"/>
  <c r="F585" i="17"/>
  <c r="N476" i="7"/>
  <c r="F476" i="17"/>
  <c r="M476" i="7"/>
  <c r="E476" i="17"/>
  <c r="N893" i="7"/>
  <c r="F893" i="17"/>
  <c r="M893" i="7"/>
  <c r="E893" i="17"/>
  <c r="M219" i="7"/>
  <c r="E219" i="17"/>
  <c r="N219" i="7"/>
  <c r="F219" i="17"/>
  <c r="N195" i="7"/>
  <c r="F195" i="17"/>
  <c r="M195" i="7"/>
  <c r="E195" i="17"/>
  <c r="N654" i="7"/>
  <c r="F654" i="17"/>
  <c r="M654" i="7"/>
  <c r="E654" i="17"/>
  <c r="N338" i="7"/>
  <c r="F338" i="17"/>
  <c r="M338" i="7"/>
  <c r="E338" i="17"/>
  <c r="N58" i="7"/>
  <c r="F58" i="17"/>
  <c r="M58" i="7"/>
  <c r="E58" i="17"/>
  <c r="N1577" i="7"/>
  <c r="F1577" i="17"/>
  <c r="M1577" i="7"/>
  <c r="E1577" i="17"/>
  <c r="M568" i="7"/>
  <c r="E568" i="17"/>
  <c r="N568" i="7"/>
  <c r="F568" i="17"/>
  <c r="N1093" i="7"/>
  <c r="F1093" i="17"/>
  <c r="M1093" i="7"/>
  <c r="E1093" i="17"/>
  <c r="M1384" i="7"/>
  <c r="E1384" i="17"/>
  <c r="N1384" i="7"/>
  <c r="F1384" i="17"/>
  <c r="M557" i="7"/>
  <c r="E557" i="17"/>
  <c r="N557" i="7"/>
  <c r="F557" i="17"/>
  <c r="N755" i="7"/>
  <c r="F755" i="17"/>
  <c r="M755" i="7"/>
  <c r="E755" i="17"/>
  <c r="N1444" i="7"/>
  <c r="F1444" i="17"/>
  <c r="M1444" i="7"/>
  <c r="E1444" i="17"/>
  <c r="N689" i="7"/>
  <c r="F689" i="17"/>
  <c r="M689" i="7"/>
  <c r="E689" i="17"/>
  <c r="N39" i="7"/>
  <c r="F39" i="17"/>
  <c r="M39" i="7"/>
  <c r="E39" i="17"/>
  <c r="M1171" i="7"/>
  <c r="E1171" i="17"/>
  <c r="N1171" i="7"/>
  <c r="F1171" i="17"/>
  <c r="M609" i="7"/>
  <c r="E609" i="17"/>
  <c r="N609" i="7"/>
  <c r="F609" i="17"/>
  <c r="N185" i="7"/>
  <c r="F185" i="17"/>
  <c r="M185" i="7"/>
  <c r="E185" i="17"/>
  <c r="M1550" i="7"/>
  <c r="E1550" i="17"/>
  <c r="N1550" i="7"/>
  <c r="F1550" i="17"/>
  <c r="N885" i="7"/>
  <c r="F885" i="17"/>
  <c r="M885" i="7"/>
  <c r="E885" i="17"/>
  <c r="N481" i="7"/>
  <c r="F481" i="17"/>
  <c r="M481" i="7"/>
  <c r="E481" i="17"/>
  <c r="N311" i="7"/>
  <c r="F311" i="17"/>
  <c r="M311" i="7"/>
  <c r="E311" i="17"/>
  <c r="N1544" i="7"/>
  <c r="F1544" i="17"/>
  <c r="M1544" i="7"/>
  <c r="E1544" i="17"/>
  <c r="N71" i="7"/>
  <c r="F71" i="17"/>
  <c r="M71" i="7"/>
  <c r="E71" i="17"/>
  <c r="N347" i="7"/>
  <c r="F347" i="17"/>
  <c r="M347" i="7"/>
  <c r="E347" i="17"/>
  <c r="N1167" i="7"/>
  <c r="F1167" i="17"/>
  <c r="M1167" i="7"/>
  <c r="E1167" i="17"/>
  <c r="M999" i="7"/>
  <c r="E999" i="17"/>
  <c r="N999" i="7"/>
  <c r="F999" i="17"/>
  <c r="M1528" i="7"/>
  <c r="E1528" i="17"/>
  <c r="N1528" i="7"/>
  <c r="F1528" i="17"/>
  <c r="N346" i="7"/>
  <c r="F346" i="17"/>
  <c r="M346" i="7"/>
  <c r="E346" i="17"/>
  <c r="N1225" i="7"/>
  <c r="F1225" i="17"/>
  <c r="M1225" i="7"/>
  <c r="E1225" i="17"/>
  <c r="M1324" i="7"/>
  <c r="E1324" i="17"/>
  <c r="N1324" i="7"/>
  <c r="F1324" i="17"/>
  <c r="M697" i="7"/>
  <c r="E697" i="17"/>
  <c r="N697" i="7"/>
  <c r="F697" i="17"/>
  <c r="M427" i="7"/>
  <c r="E427" i="17"/>
  <c r="N427" i="7"/>
  <c r="F427" i="17"/>
  <c r="M1037" i="7"/>
  <c r="E1037" i="17"/>
  <c r="N1037" i="7"/>
  <c r="F1037" i="17"/>
  <c r="E1037" i="24"/>
  <c r="E697" i="24"/>
  <c r="F1225" i="24"/>
  <c r="E1528" i="24"/>
  <c r="F1167" i="24"/>
  <c r="F71" i="24"/>
  <c r="F311" i="24"/>
  <c r="F885" i="24"/>
  <c r="F185" i="24"/>
  <c r="E1171" i="24"/>
  <c r="F689" i="24"/>
  <c r="F755" i="24"/>
  <c r="E1384" i="24"/>
  <c r="E568" i="24"/>
  <c r="F58" i="24"/>
  <c r="F654" i="24"/>
  <c r="E219" i="24"/>
  <c r="F476" i="24"/>
  <c r="F812" i="24"/>
  <c r="E169" i="24"/>
  <c r="E1161" i="24"/>
  <c r="E803" i="24"/>
  <c r="E178" i="24"/>
  <c r="E558" i="24"/>
  <c r="E1237" i="24"/>
  <c r="E1523" i="24"/>
  <c r="E425" i="24"/>
  <c r="E1129" i="24"/>
  <c r="E1088" i="24"/>
  <c r="E1080" i="24"/>
  <c r="E1073" i="24"/>
  <c r="E647" i="24"/>
  <c r="F1624" i="24"/>
  <c r="F580" i="24"/>
  <c r="E618" i="24"/>
  <c r="E451" i="24"/>
  <c r="F614" i="24"/>
  <c r="F1581" i="24"/>
  <c r="E1214" i="24"/>
  <c r="E102" i="24"/>
  <c r="E1184" i="24"/>
  <c r="E960" i="24"/>
  <c r="F1107" i="24"/>
  <c r="F955" i="24"/>
  <c r="F403" i="24"/>
  <c r="E1159" i="24"/>
  <c r="E54" i="24"/>
  <c r="E1505" i="24"/>
  <c r="F129" i="24"/>
  <c r="E712" i="24"/>
  <c r="F98" i="24"/>
  <c r="F1378" i="24"/>
  <c r="E1499" i="24"/>
  <c r="F942" i="24"/>
  <c r="E1316" i="24"/>
  <c r="E1280" i="24"/>
  <c r="E819" i="24"/>
  <c r="F1102" i="24"/>
  <c r="E36" i="24"/>
  <c r="F431" i="24"/>
  <c r="F1191" i="24"/>
  <c r="F619" i="24"/>
  <c r="E1548" i="24"/>
  <c r="E97" i="24"/>
  <c r="F922" i="24"/>
  <c r="E331" i="24"/>
  <c r="F1246" i="24"/>
  <c r="E815" i="24"/>
  <c r="F809" i="24"/>
  <c r="E1368" i="24"/>
  <c r="F202" i="24"/>
  <c r="F1425" i="24"/>
  <c r="E1287" i="24"/>
  <c r="E977" i="24"/>
  <c r="E1628" i="24"/>
  <c r="F642" i="24"/>
  <c r="E972" i="24"/>
  <c r="F685" i="24"/>
  <c r="E259" i="24"/>
  <c r="F1640" i="24"/>
  <c r="E283" i="24"/>
  <c r="F1641" i="24"/>
  <c r="E430" i="24"/>
  <c r="F1118" i="24"/>
  <c r="F567" i="24"/>
  <c r="E1109" i="24"/>
  <c r="E1301" i="24"/>
  <c r="E469" i="24"/>
  <c r="F1508" i="24"/>
  <c r="F261" i="24"/>
  <c r="F52" i="24"/>
  <c r="E749" i="24"/>
  <c r="F361" i="24"/>
  <c r="F214" i="24"/>
  <c r="E545" i="24"/>
  <c r="F482" i="24"/>
  <c r="F1103" i="24"/>
  <c r="E318" i="24"/>
  <c r="F533" i="24"/>
  <c r="E1138" i="24"/>
  <c r="F365" i="24"/>
  <c r="F897" i="24"/>
  <c r="F229" i="24"/>
  <c r="E951" i="24"/>
  <c r="E1562" i="24"/>
  <c r="F1426" i="24"/>
  <c r="E248" i="24"/>
  <c r="F1058" i="24"/>
  <c r="F72" i="24"/>
  <c r="E306" i="24"/>
  <c r="E552" i="24"/>
  <c r="E1215" i="24"/>
  <c r="F1024" i="24"/>
  <c r="F1543" i="24"/>
  <c r="F607" i="24"/>
  <c r="E32" i="24"/>
  <c r="E992" i="24"/>
  <c r="F1056" i="24"/>
  <c r="F1560" i="24"/>
  <c r="F128" i="24"/>
  <c r="F1000" i="24"/>
  <c r="E515" i="24"/>
  <c r="F612" i="24"/>
  <c r="E472" i="24"/>
  <c r="E1216" i="24"/>
  <c r="E210" i="24"/>
  <c r="F1529" i="24"/>
  <c r="E401" i="24"/>
  <c r="F18" i="24"/>
  <c r="F963" i="24"/>
  <c r="F470" i="24"/>
  <c r="F1120" i="24"/>
  <c r="F538" i="24"/>
  <c r="E559" i="24"/>
  <c r="E1621" i="24"/>
  <c r="E490" i="24"/>
  <c r="E1202" i="24"/>
  <c r="F1089" i="24"/>
  <c r="F715" i="24"/>
  <c r="E1507" i="24"/>
  <c r="F892" i="24"/>
  <c r="F272" i="24"/>
  <c r="F678" i="24"/>
  <c r="E1122" i="24"/>
  <c r="F1522" i="24"/>
  <c r="E1286" i="24"/>
  <c r="E1618" i="24"/>
  <c r="E394" i="24"/>
  <c r="F1229" i="24"/>
  <c r="F492" i="24"/>
  <c r="E947" i="24"/>
  <c r="E1247" i="24"/>
  <c r="F1619" i="24"/>
  <c r="E890" i="24"/>
  <c r="E264" i="24"/>
  <c r="E1442" i="24"/>
  <c r="F1549" i="24"/>
  <c r="F1633" i="24"/>
  <c r="F709" i="24"/>
  <c r="E744" i="24"/>
  <c r="E357" i="24"/>
  <c r="E465" i="24"/>
  <c r="E900" i="24"/>
  <c r="F353" i="24"/>
  <c r="F551" i="24"/>
  <c r="F1371" i="24"/>
  <c r="F38" i="24"/>
  <c r="E899" i="24"/>
  <c r="F1289" i="24"/>
  <c r="E862" i="24"/>
  <c r="F811" i="24"/>
  <c r="E1625" i="24"/>
  <c r="E230" i="24"/>
  <c r="F698" i="24"/>
  <c r="F1391" i="24"/>
  <c r="E1086" i="24"/>
  <c r="E94" i="24"/>
  <c r="F741" i="24"/>
  <c r="E623" i="24"/>
  <c r="E1379" i="24"/>
  <c r="F57" i="24"/>
  <c r="F778" i="24"/>
  <c r="F565" i="24"/>
  <c r="E694" i="24"/>
  <c r="F1181" i="24"/>
  <c r="F1046" i="24"/>
  <c r="E1359" i="24"/>
  <c r="F829" i="24"/>
  <c r="E101" i="24"/>
  <c r="E1648" i="24"/>
  <c r="F348" i="24"/>
  <c r="E327" i="24"/>
  <c r="F1085" i="24"/>
  <c r="F1038" i="24"/>
  <c r="E439" i="24"/>
  <c r="E1104" i="24"/>
  <c r="F491" i="24"/>
  <c r="F46" i="24"/>
  <c r="F1632" i="24"/>
  <c r="E576" i="24"/>
  <c r="E622" i="24"/>
  <c r="E964" i="24"/>
  <c r="E1611" i="24"/>
  <c r="F883" i="24"/>
  <c r="E432" i="24"/>
  <c r="F561" i="24"/>
  <c r="F407" i="24"/>
  <c r="E985" i="24"/>
  <c r="F207" i="24"/>
  <c r="F1144" i="24"/>
  <c r="F489" i="24"/>
  <c r="E700" i="24"/>
  <c r="E1428" i="24"/>
  <c r="E1436" i="24"/>
  <c r="F1260" i="24"/>
  <c r="F305" i="24"/>
  <c r="E692" i="24"/>
  <c r="F1509" i="24"/>
  <c r="E498" i="24"/>
  <c r="F1186" i="24"/>
  <c r="F1622" i="24"/>
  <c r="E23" i="24"/>
  <c r="F1406" i="24"/>
  <c r="F1502" i="24"/>
  <c r="F1579" i="24"/>
  <c r="F1250" i="24"/>
  <c r="F1227" i="24"/>
  <c r="F1496" i="24"/>
  <c r="E1512" i="24"/>
  <c r="E708" i="24"/>
  <c r="F834" i="24"/>
  <c r="F746" i="24"/>
  <c r="E742" i="24"/>
  <c r="E646" i="24"/>
  <c r="E227" i="24"/>
  <c r="F1488" i="24"/>
  <c r="F64" i="24"/>
  <c r="F1224" i="24"/>
  <c r="E478" i="24"/>
  <c r="E428" i="24"/>
  <c r="E959" i="24"/>
  <c r="F138" i="24"/>
  <c r="F877" i="24"/>
  <c r="F221" i="24"/>
  <c r="E350" i="24"/>
  <c r="E1421" i="24"/>
  <c r="F199" i="24"/>
  <c r="F314" i="24"/>
  <c r="E635" i="24"/>
  <c r="F720" i="24"/>
  <c r="F983" i="24"/>
  <c r="F925" i="24"/>
  <c r="E632" i="24"/>
  <c r="F1554" i="24"/>
  <c r="E716" i="24"/>
  <c r="F1422" i="24"/>
  <c r="E66" i="24"/>
  <c r="F1402" i="24"/>
  <c r="E1574" i="24"/>
  <c r="F857" i="24"/>
  <c r="F747" i="24"/>
  <c r="F1162" i="24"/>
  <c r="F477" i="24"/>
  <c r="F1016" i="24"/>
  <c r="E1439" i="24"/>
  <c r="E702" i="24"/>
  <c r="F20" i="24"/>
  <c r="F103" i="24"/>
  <c r="E1321" i="24"/>
  <c r="F336" i="24"/>
  <c r="F1647" i="24"/>
  <c r="F1263" i="24"/>
  <c r="F87" i="24"/>
  <c r="E722" i="24"/>
  <c r="E756" i="24"/>
  <c r="E268" i="24"/>
  <c r="E211" i="24"/>
  <c r="E454" i="24"/>
  <c r="F33" i="24"/>
  <c r="F106" i="24"/>
  <c r="E1475" i="24"/>
  <c r="E831" i="24"/>
  <c r="F530" i="24"/>
  <c r="F1501" i="24"/>
  <c r="E1412" i="24"/>
  <c r="E1015" i="24"/>
  <c r="F705" i="24"/>
  <c r="E184" i="24"/>
  <c r="F510" i="24"/>
  <c r="E691" i="24"/>
  <c r="F56" i="24"/>
  <c r="F179" i="24"/>
  <c r="E1055" i="24"/>
  <c r="F512" i="24"/>
  <c r="F1584" i="24"/>
  <c r="E265" i="24"/>
  <c r="F262" i="24"/>
  <c r="E416" i="24"/>
  <c r="F1126" i="24"/>
  <c r="E111" i="24"/>
  <c r="E321" i="24"/>
  <c r="F570" i="24"/>
  <c r="E854" i="24"/>
  <c r="E511" i="24"/>
  <c r="F707" i="24"/>
  <c r="E342" i="24"/>
  <c r="F1256" i="24"/>
  <c r="F1299" i="24"/>
  <c r="E1470" i="24"/>
  <c r="F802" i="24"/>
  <c r="E780" i="24"/>
  <c r="F77" i="24"/>
  <c r="E876" i="24"/>
  <c r="F923" i="24"/>
  <c r="E818" i="24"/>
  <c r="E902" i="24"/>
  <c r="F537" i="24"/>
  <c r="E173" i="24"/>
  <c r="F181" i="24"/>
  <c r="E228" i="24"/>
  <c r="E540" i="24"/>
  <c r="E1119" i="24"/>
  <c r="E582" i="24"/>
  <c r="F1576" i="24"/>
  <c r="E1424" i="24"/>
  <c r="F1288" i="24"/>
  <c r="F1644" i="24"/>
  <c r="F35" i="24"/>
  <c r="E1111" i="24"/>
  <c r="F787" i="24"/>
  <c r="F1455" i="24"/>
  <c r="E1003" i="24"/>
  <c r="E484" i="24"/>
  <c r="F1308" i="24"/>
  <c r="F1354" i="24"/>
  <c r="F386" i="24"/>
  <c r="E603" i="24"/>
  <c r="E1591" i="24"/>
  <c r="F531" i="24"/>
  <c r="F1638" i="24"/>
  <c r="F721" i="24"/>
  <c r="F1331" i="24"/>
  <c r="E282" i="24"/>
  <c r="F1027" i="24"/>
  <c r="F643" i="24"/>
  <c r="E661" i="24"/>
  <c r="E485" i="24"/>
  <c r="F1390" i="24"/>
  <c r="E250" i="24"/>
  <c r="E1234" i="24"/>
  <c r="F1196" i="24"/>
  <c r="E1327" i="24"/>
  <c r="F583" i="24"/>
  <c r="E1407" i="24"/>
  <c r="F1231" i="24"/>
  <c r="E307" i="24"/>
  <c r="F1377" i="24"/>
  <c r="F988" i="24"/>
  <c r="E1418" i="24"/>
  <c r="F1613" i="24"/>
  <c r="F1241" i="24"/>
  <c r="E1251" i="24"/>
  <c r="F223" i="24"/>
  <c r="E1590" i="24"/>
  <c r="F59" i="24"/>
  <c r="F739" i="24"/>
  <c r="F1517" i="24"/>
  <c r="E153" i="24"/>
  <c r="E792" i="24"/>
  <c r="E1099" i="24"/>
  <c r="E1156" i="24"/>
  <c r="F1481" i="24"/>
  <c r="E1305" i="24"/>
  <c r="F1553" i="24"/>
  <c r="E468" i="24"/>
  <c r="F206" i="24"/>
  <c r="F379" i="24"/>
  <c r="E1100" i="24"/>
  <c r="E1313" i="24"/>
  <c r="E212" i="24"/>
  <c r="E658" i="24"/>
  <c r="E165" i="24"/>
  <c r="E945" i="24"/>
  <c r="F158" i="24"/>
  <c r="F680" i="24"/>
  <c r="F1176" i="24"/>
  <c r="F1182" i="24"/>
  <c r="E461" i="24"/>
  <c r="F987" i="24"/>
  <c r="F1491" i="24"/>
  <c r="E247" i="24"/>
  <c r="E326" i="24"/>
  <c r="E1238" i="24"/>
  <c r="E435" i="24"/>
  <c r="E894" i="24"/>
  <c r="E475" i="24"/>
  <c r="E1174" i="24"/>
  <c r="E1097" i="24"/>
  <c r="F1333" i="24"/>
  <c r="E1372" i="24"/>
  <c r="F986" i="24"/>
  <c r="E1292" i="24"/>
  <c r="F92" i="24"/>
  <c r="F1434" i="24"/>
  <c r="E696" i="24"/>
  <c r="F1049" i="24"/>
  <c r="F958" i="24"/>
  <c r="E281" i="24"/>
  <c r="E901" i="24"/>
  <c r="F1117" i="24"/>
  <c r="E73" i="24"/>
  <c r="E162" i="24"/>
  <c r="E323" i="24"/>
  <c r="E503" i="24"/>
  <c r="E939" i="24"/>
  <c r="E99" i="24"/>
  <c r="F574" i="24"/>
  <c r="F1328" i="24"/>
  <c r="F137" i="24"/>
  <c r="F48" i="24"/>
  <c r="E1164" i="24"/>
  <c r="E934" i="24"/>
  <c r="E1492" i="24"/>
  <c r="E1095" i="24"/>
  <c r="F1322" i="24"/>
  <c r="E1131" i="24"/>
  <c r="E453" i="24"/>
  <c r="F487" i="24"/>
  <c r="F1580" i="24"/>
  <c r="F666" i="24"/>
  <c r="F527" i="24"/>
  <c r="F525" i="24"/>
  <c r="F516" i="24"/>
  <c r="F1629" i="24"/>
  <c r="E1307" i="24"/>
  <c r="E1025" i="24"/>
  <c r="E1563" i="24"/>
  <c r="F861" i="24"/>
  <c r="F874" i="24"/>
  <c r="E790" i="24"/>
  <c r="E1457" i="24"/>
  <c r="E1017" i="24"/>
  <c r="F387" i="24"/>
  <c r="F1072" i="24"/>
  <c r="E875" i="24"/>
  <c r="F785" i="24"/>
  <c r="F777" i="24"/>
  <c r="E980" i="24"/>
  <c r="F360" i="24"/>
  <c r="E1486" i="24"/>
  <c r="F1201" i="24"/>
  <c r="E771" i="24"/>
  <c r="E324" i="24"/>
  <c r="E37" i="24"/>
  <c r="F1063" i="24"/>
  <c r="E289" i="24"/>
  <c r="E1365" i="24"/>
  <c r="E1061" i="24"/>
  <c r="E833" i="24"/>
  <c r="F789" i="24"/>
  <c r="E1420" i="24"/>
  <c r="F55" i="24"/>
  <c r="F775" i="24"/>
  <c r="E978" i="24"/>
  <c r="E1157" i="24"/>
  <c r="F1431" i="24"/>
  <c r="E1262" i="24"/>
  <c r="E51" i="24"/>
  <c r="E1296" i="24"/>
  <c r="E1356" i="24"/>
  <c r="F740" i="24"/>
  <c r="F325" i="24"/>
  <c r="E884" i="24"/>
  <c r="F1199" i="24"/>
  <c r="E1381" i="24"/>
  <c r="F649" i="24"/>
  <c r="E1220" i="24"/>
  <c r="F1511" i="24"/>
  <c r="F962" i="24"/>
  <c r="F1310" i="24"/>
  <c r="E1320" i="24"/>
  <c r="E842" i="24"/>
  <c r="E34" i="24"/>
  <c r="F267" i="24"/>
  <c r="E1369" i="24"/>
  <c r="F69" i="24"/>
  <c r="E1518" i="24"/>
  <c r="E426" i="24"/>
  <c r="F621" i="24"/>
  <c r="F380" i="24"/>
  <c r="F704" i="24"/>
  <c r="E660" i="24"/>
  <c r="F1568" i="24"/>
  <c r="E735" i="24"/>
  <c r="E1110" i="24"/>
  <c r="F1030" i="24"/>
  <c r="E364" i="24"/>
  <c r="F220" i="24"/>
  <c r="E1388" i="24"/>
  <c r="F1532" i="24"/>
  <c r="F304" i="24"/>
  <c r="F299" i="24"/>
  <c r="E1219" i="24"/>
  <c r="E317" i="24"/>
  <c r="F1454" i="24"/>
  <c r="F501" i="24"/>
  <c r="E806" i="24"/>
  <c r="F302" i="24"/>
  <c r="E1473" i="24"/>
  <c r="E828" i="24"/>
  <c r="F754" i="24"/>
  <c r="F156" i="24"/>
  <c r="E1403" i="24"/>
  <c r="E710" i="24"/>
  <c r="F550" i="24"/>
  <c r="E1001" i="24"/>
  <c r="F867" i="24"/>
  <c r="E1312" i="24"/>
  <c r="E164" i="24"/>
  <c r="F1468" i="24"/>
  <c r="E1362" i="24"/>
  <c r="E786" i="24"/>
  <c r="F743" i="24"/>
  <c r="E114" i="24"/>
  <c r="F466" i="24"/>
  <c r="E17" i="24"/>
  <c r="E14" i="24"/>
  <c r="E839" i="24"/>
  <c r="F653" i="24"/>
  <c r="E189" i="24"/>
  <c r="E866" i="24"/>
  <c r="E605" i="24"/>
  <c r="E188" i="24"/>
  <c r="F880" i="24"/>
  <c r="E1477" i="24"/>
  <c r="F993" i="24"/>
  <c r="E549" i="24"/>
  <c r="E1204" i="24"/>
  <c r="E339" i="24"/>
  <c r="E502" i="24"/>
  <c r="F198" i="24"/>
  <c r="E997" i="24"/>
  <c r="F695" i="24"/>
  <c r="F990" i="24"/>
  <c r="E21" i="24"/>
  <c r="F1130" i="24"/>
  <c r="E113" i="24"/>
  <c r="F329" i="24"/>
  <c r="E1177" i="24"/>
  <c r="F1028" i="24"/>
  <c r="F1387" i="24"/>
  <c r="F975" i="24"/>
  <c r="F1116" i="24"/>
  <c r="E1173" i="24"/>
  <c r="E354" i="24"/>
  <c r="F681" i="24"/>
  <c r="F1179" i="24"/>
  <c r="E938" i="24"/>
  <c r="F175" i="24"/>
  <c r="E1443" i="24"/>
  <c r="F548" i="24"/>
  <c r="F197" i="24"/>
  <c r="F1166" i="24"/>
  <c r="F1243" i="24"/>
  <c r="F1332" i="24"/>
  <c r="E970" i="24"/>
  <c r="E483" i="24"/>
  <c r="F334" i="24"/>
  <c r="E1295" i="24"/>
  <c r="F1631" i="24"/>
  <c r="F404" i="24"/>
  <c r="E931" i="24"/>
  <c r="E438" i="24"/>
  <c r="E115" i="24"/>
  <c r="F1300" i="24"/>
  <c r="F639" i="24"/>
  <c r="F1266" i="24"/>
  <c r="F41" i="24"/>
  <c r="E1432" i="24"/>
  <c r="F1605" i="24"/>
  <c r="E421" i="24"/>
  <c r="F337" i="24"/>
  <c r="E1213" i="24"/>
  <c r="F1441" i="24"/>
  <c r="E507" i="24"/>
  <c r="F774" i="24"/>
  <c r="F791" i="24"/>
  <c r="F182" i="24"/>
  <c r="F308" i="24"/>
  <c r="F817" i="24"/>
  <c r="E628" i="24"/>
  <c r="E1193" i="24"/>
  <c r="E118" i="24"/>
  <c r="E1134" i="24"/>
  <c r="F918" i="24"/>
  <c r="E312" i="24"/>
  <c r="F504" i="24"/>
  <c r="F836" i="24"/>
  <c r="E641" i="24"/>
  <c r="E187" i="24"/>
  <c r="F1361" i="24"/>
  <c r="F316" i="24"/>
  <c r="E1221" i="24"/>
  <c r="E291" i="24"/>
  <c r="E1458" i="24"/>
  <c r="E167" i="24"/>
  <c r="E177" i="24"/>
  <c r="F555" i="24"/>
  <c r="E1483" i="24"/>
  <c r="F251" i="24"/>
  <c r="E920" i="24"/>
  <c r="F566" i="24"/>
  <c r="F717" i="24"/>
  <c r="F586" i="24"/>
  <c r="E814" i="24"/>
  <c r="E665" i="24"/>
  <c r="E1606" i="24"/>
  <c r="F529" i="24"/>
  <c r="F474" i="24"/>
  <c r="E315" i="24"/>
  <c r="E1315" i="24"/>
  <c r="F1353" i="24"/>
  <c r="F1445" i="24"/>
  <c r="E116" i="24"/>
  <c r="E1557" i="24"/>
  <c r="E1036" i="24"/>
  <c r="F1646" i="24"/>
  <c r="F838" i="24"/>
  <c r="F418" i="24"/>
  <c r="E1105" i="24"/>
  <c r="E126" i="24"/>
  <c r="F734" i="24"/>
  <c r="F216" i="24"/>
  <c r="E96" i="24"/>
  <c r="F155" i="24"/>
  <c r="F601" i="24"/>
  <c r="F1514" i="24"/>
  <c r="F358" i="24"/>
  <c r="F1279" i="24"/>
  <c r="F584" i="24"/>
  <c r="F1124" i="24"/>
  <c r="E42" i="24"/>
  <c r="E1165" i="24"/>
  <c r="E783" i="24"/>
  <c r="F1479" i="24"/>
  <c r="F1106" i="24"/>
  <c r="E397" i="24"/>
  <c r="F1198" i="24"/>
  <c r="F455" i="24"/>
  <c r="E1350" i="24"/>
  <c r="F989" i="24"/>
  <c r="F1526" i="24"/>
  <c r="F1155" i="24"/>
  <c r="F827" i="24"/>
  <c r="E381" i="24"/>
  <c r="F1112" i="24"/>
  <c r="E793" i="24"/>
  <c r="F1352" i="24"/>
  <c r="F896" i="24"/>
  <c r="F556" i="24"/>
  <c r="E1408" i="24"/>
  <c r="E263" i="24"/>
  <c r="F1494" i="24"/>
  <c r="F40" i="24"/>
  <c r="E1062" i="24"/>
  <c r="F1293" i="24"/>
  <c r="F794" i="24"/>
  <c r="E437" i="24"/>
  <c r="E500" i="24"/>
  <c r="E1096" i="24"/>
  <c r="F864" i="24"/>
  <c r="F602" i="24"/>
  <c r="F797" i="24"/>
  <c r="E217" i="24"/>
  <c r="E714" i="24"/>
  <c r="F1433" i="24"/>
  <c r="E808" i="24"/>
  <c r="E631" i="24"/>
  <c r="E541" i="24"/>
  <c r="E921" i="24"/>
  <c r="E355" i="24"/>
  <c r="F795" i="24"/>
  <c r="E1385" i="24"/>
  <c r="F123" i="24"/>
  <c r="F1123" i="24"/>
  <c r="E1239" i="24"/>
  <c r="F266" i="24"/>
  <c r="E579" i="24"/>
  <c r="F93" i="24"/>
  <c r="F856" i="24"/>
  <c r="E1487" i="24"/>
  <c r="E1033" i="24"/>
  <c r="F225" i="24"/>
  <c r="F335" i="24"/>
  <c r="F171" i="24"/>
  <c r="F657" i="24"/>
  <c r="F415" i="24"/>
  <c r="E1614" i="24"/>
  <c r="E284" i="24"/>
  <c r="E1634" i="24"/>
  <c r="E508" i="24"/>
  <c r="E1041" i="24"/>
  <c r="E1556" i="24"/>
  <c r="F826" i="24"/>
  <c r="F273" i="24"/>
  <c r="F1309" i="24"/>
  <c r="E821" i="24"/>
  <c r="F186" i="24"/>
  <c r="E542" i="24"/>
  <c r="E1642" i="24"/>
  <c r="F44" i="24"/>
  <c r="F1405" i="24"/>
  <c r="F509" i="24"/>
  <c r="F1143" i="24"/>
  <c r="E928" i="24"/>
  <c r="E427" i="24"/>
  <c r="E1324" i="24"/>
  <c r="F346" i="24"/>
  <c r="E999" i="24"/>
  <c r="F347" i="24"/>
  <c r="F1544" i="24"/>
  <c r="F481" i="24"/>
  <c r="E1550" i="24"/>
  <c r="E609" i="24"/>
  <c r="F39" i="24"/>
  <c r="F1444" i="24"/>
  <c r="E557" i="24"/>
  <c r="F1093" i="24"/>
  <c r="F1577" i="24"/>
  <c r="F338" i="24"/>
  <c r="F195" i="24"/>
  <c r="F893" i="24"/>
  <c r="E585" i="24"/>
  <c r="E406" i="24"/>
  <c r="E830" i="24"/>
  <c r="E344" i="24"/>
  <c r="F384" i="24"/>
  <c r="F1192" i="24"/>
  <c r="F645" i="24"/>
  <c r="E863" i="24"/>
  <c r="F937" i="24"/>
  <c r="E1091" i="24"/>
  <c r="E887" i="24"/>
  <c r="E1478" i="24"/>
  <c r="E1366" i="24"/>
  <c r="F121" i="24"/>
  <c r="E249" i="24"/>
  <c r="E543" i="24"/>
  <c r="E1578" i="24"/>
  <c r="F1114" i="24"/>
  <c r="F1416" i="24"/>
  <c r="E757" i="24"/>
  <c r="F895" i="24"/>
  <c r="E60" i="24"/>
  <c r="E991" i="24"/>
  <c r="E45" i="24"/>
  <c r="F1090" i="24"/>
  <c r="E952" i="24"/>
  <c r="F779" i="24"/>
  <c r="F1217" i="24"/>
  <c r="E1044" i="24"/>
  <c r="F224" i="24"/>
  <c r="F949" i="24"/>
  <c r="E1108" i="24"/>
  <c r="F488" i="24"/>
  <c r="E222" i="24"/>
  <c r="F398" i="24"/>
  <c r="F1525" i="24"/>
  <c r="F95" i="24"/>
  <c r="F966" i="24"/>
  <c r="F881" i="24"/>
  <c r="E1259" i="24"/>
  <c r="F1169" i="24"/>
  <c r="E600" i="24"/>
  <c r="E160" i="24"/>
  <c r="E926" i="24"/>
  <c r="E1248" i="24"/>
  <c r="F328" i="24"/>
  <c r="F1294" i="24"/>
  <c r="E1223" i="24"/>
  <c r="E233" i="24"/>
  <c r="F604" i="24"/>
  <c r="F462" i="24"/>
  <c r="E1370" i="24"/>
  <c r="E1083" i="24"/>
  <c r="E109" i="24"/>
  <c r="F1125" i="24"/>
  <c r="F745" i="24"/>
  <c r="F1325" i="24"/>
  <c r="E688" i="24"/>
  <c r="E450" i="24"/>
  <c r="F1588" i="24"/>
  <c r="E996" i="24"/>
  <c r="F471" i="24"/>
  <c r="F1561" i="24"/>
  <c r="F719" i="24"/>
  <c r="E1172" i="24"/>
  <c r="E625" i="24"/>
  <c r="F1264" i="24"/>
  <c r="F1655" i="24"/>
  <c r="E1189" i="24"/>
  <c r="E752" i="24"/>
  <c r="E929" i="24"/>
  <c r="F1386" i="24"/>
  <c r="F1510" i="24"/>
  <c r="F1101" i="24"/>
  <c r="F1042" i="24"/>
  <c r="E107" i="24"/>
  <c r="E1649" i="24"/>
  <c r="F930" i="24"/>
  <c r="F940" i="24"/>
  <c r="E1567" i="24"/>
  <c r="E633" i="24"/>
  <c r="F139" i="24"/>
  <c r="E573" i="24"/>
  <c r="F1585" i="24"/>
  <c r="F322" i="24"/>
  <c r="E1413" i="24"/>
  <c r="E1258" i="24"/>
  <c r="F995" i="24"/>
  <c r="F1163" i="24"/>
  <c r="E1417" i="24"/>
  <c r="F280" i="24"/>
  <c r="E75" i="24"/>
  <c r="E1472" i="24"/>
  <c r="F161" i="24"/>
  <c r="E1242" i="24"/>
  <c r="E320" i="24"/>
  <c r="E1607" i="24"/>
  <c r="E620" i="24"/>
  <c r="F1419" i="24"/>
  <c r="F330" i="24"/>
  <c r="E413" i="24"/>
  <c r="F170" i="24"/>
  <c r="E971" i="24"/>
  <c r="F433" i="24"/>
  <c r="F1602" i="24"/>
  <c r="E1575" i="24"/>
  <c r="F397" i="24"/>
  <c r="E1198" i="24"/>
  <c r="E455" i="24"/>
  <c r="F1350" i="24"/>
  <c r="E989" i="24"/>
  <c r="F610" i="24"/>
  <c r="E782" i="24"/>
  <c r="E190" i="24"/>
  <c r="E1140" i="24"/>
  <c r="E1282" i="24"/>
  <c r="F1160" i="24"/>
  <c r="F981" i="24"/>
  <c r="E536" i="24"/>
  <c r="E1029" i="24"/>
  <c r="E405" i="24"/>
  <c r="F781" i="24"/>
  <c r="E340" i="24"/>
  <c r="E859" i="24"/>
  <c r="E1087" i="24"/>
  <c r="E616" i="24"/>
  <c r="E784" i="24"/>
  <c r="E459" i="24"/>
  <c r="F417" i="24"/>
  <c r="F1021" i="24"/>
  <c r="F276" i="24"/>
  <c r="F1197" i="24"/>
  <c r="E615" i="24"/>
  <c r="F310" i="24"/>
  <c r="F1367" i="24"/>
  <c r="E209" i="24"/>
  <c r="E687" i="24"/>
  <c r="E773" i="24"/>
  <c r="E1319" i="24"/>
  <c r="F1541" i="24"/>
  <c r="E363" i="24"/>
  <c r="E776" i="24"/>
  <c r="F1643" i="24"/>
  <c r="F1142" i="24"/>
  <c r="F1019" i="24"/>
  <c r="E232" i="24"/>
  <c r="E1411" i="24"/>
  <c r="F213" i="24"/>
  <c r="E1524" i="24"/>
  <c r="E253" i="24"/>
  <c r="E1290" i="24"/>
  <c r="F193" i="24"/>
  <c r="E74" i="24"/>
  <c r="F208" i="24"/>
  <c r="E624" i="24"/>
  <c r="F168" i="24"/>
  <c r="F758" i="24"/>
  <c r="E270" i="24"/>
  <c r="F1218" i="24"/>
  <c r="F1493" i="24"/>
  <c r="E924" i="24"/>
  <c r="E1484" i="24"/>
  <c r="E1526" i="24"/>
  <c r="E1155" i="24"/>
  <c r="E827" i="24"/>
  <c r="F381" i="24"/>
  <c r="E1112" i="24"/>
  <c r="F793" i="24"/>
  <c r="E1352" i="24"/>
  <c r="E896" i="24"/>
  <c r="E556" i="24"/>
  <c r="F1408" i="24"/>
  <c r="F263" i="24"/>
  <c r="E1494" i="24"/>
  <c r="E40" i="24"/>
  <c r="F1062" i="24"/>
  <c r="E1293" i="24"/>
  <c r="E794" i="24"/>
  <c r="F437" i="24"/>
  <c r="F500" i="24"/>
  <c r="F1096" i="24"/>
  <c r="E864" i="24"/>
  <c r="E602" i="24"/>
  <c r="E797" i="24"/>
  <c r="F217" i="24"/>
  <c r="F714" i="24"/>
  <c r="E1433" i="24"/>
  <c r="F808" i="24"/>
  <c r="F631" i="24"/>
  <c r="F541" i="24"/>
  <c r="F921" i="24"/>
  <c r="F355" i="24"/>
  <c r="E795" i="24"/>
  <c r="F1385" i="24"/>
  <c r="E123" i="24"/>
  <c r="E1123" i="24"/>
  <c r="F1239" i="24"/>
  <c r="E266" i="24"/>
  <c r="F579" i="24"/>
  <c r="E93" i="24"/>
  <c r="E856" i="24"/>
  <c r="F1487" i="24"/>
  <c r="F1033" i="24"/>
  <c r="M1012" i="7"/>
  <c r="M1005" i="7"/>
  <c r="E1013" i="17"/>
  <c r="E225" i="24"/>
  <c r="E335" i="24"/>
  <c r="E171" i="24"/>
  <c r="E657" i="24"/>
  <c r="E415" i="24"/>
  <c r="F1614" i="24"/>
  <c r="F284" i="24"/>
  <c r="F1634" i="24"/>
  <c r="F508" i="24"/>
  <c r="F449" i="17"/>
  <c r="N448" i="7"/>
  <c r="N440" i="7"/>
  <c r="F1041" i="24"/>
  <c r="F1556" i="24"/>
  <c r="E826" i="24"/>
  <c r="E273" i="24"/>
  <c r="E1309" i="24"/>
  <c r="F821" i="24"/>
  <c r="E186" i="24"/>
  <c r="F542" i="24"/>
  <c r="F1642" i="24"/>
  <c r="E44" i="24"/>
  <c r="E1405" i="24"/>
  <c r="E509" i="24"/>
  <c r="E1143" i="24"/>
  <c r="F928" i="24"/>
  <c r="E779" i="24"/>
  <c r="E1217" i="24"/>
  <c r="F1044" i="24"/>
  <c r="E224" i="24"/>
  <c r="E949" i="24"/>
  <c r="F1108" i="24"/>
  <c r="E488" i="24"/>
  <c r="F222" i="24"/>
  <c r="E398" i="24"/>
  <c r="E1525" i="24"/>
  <c r="E95" i="24"/>
  <c r="E966" i="24"/>
  <c r="E881" i="24"/>
  <c r="F1259" i="24"/>
  <c r="F733" i="17"/>
  <c r="N732" i="7"/>
  <c r="N725" i="7"/>
  <c r="E1169" i="24"/>
  <c r="F600" i="24"/>
  <c r="F598" i="24"/>
  <c r="F160" i="24"/>
  <c r="F926" i="24"/>
  <c r="F1248" i="24"/>
  <c r="E328" i="24"/>
  <c r="E1294" i="24"/>
  <c r="F1223" i="24"/>
  <c r="F233" i="24"/>
  <c r="E604" i="24"/>
  <c r="E462" i="24"/>
  <c r="F1370" i="24"/>
  <c r="F1083" i="24"/>
  <c r="F109" i="24"/>
  <c r="E1125" i="24"/>
  <c r="E745" i="24"/>
  <c r="E1325" i="24"/>
  <c r="F688" i="24"/>
  <c r="F450" i="24"/>
  <c r="E1588" i="24"/>
  <c r="F996" i="24"/>
  <c r="E471" i="24"/>
  <c r="E1561" i="24"/>
  <c r="E719" i="24"/>
  <c r="F1172" i="24"/>
  <c r="F625" i="24"/>
  <c r="E1264" i="24"/>
  <c r="E1655" i="24"/>
  <c r="F1189" i="24"/>
  <c r="F752" i="24"/>
  <c r="F929" i="24"/>
  <c r="E1386" i="24"/>
  <c r="E1510" i="24"/>
  <c r="E1101" i="24"/>
  <c r="E1042" i="24"/>
  <c r="F107" i="24"/>
  <c r="F1649" i="24"/>
  <c r="E930" i="24"/>
  <c r="E940" i="24"/>
  <c r="F1567" i="24"/>
  <c r="F633" i="24"/>
  <c r="E139" i="24"/>
  <c r="F573" i="24"/>
  <c r="E1585" i="24"/>
  <c r="E322" i="24"/>
  <c r="F1413" i="24"/>
  <c r="F1258" i="24"/>
  <c r="E995" i="24"/>
  <c r="E1163" i="24"/>
  <c r="F1417" i="24"/>
  <c r="E280" i="24"/>
  <c r="F75" i="24"/>
  <c r="F1472" i="24"/>
  <c r="E161" i="24"/>
  <c r="F1242" i="24"/>
  <c r="F320" i="24"/>
  <c r="F1607" i="24"/>
  <c r="F620" i="24"/>
  <c r="E1419" i="24"/>
  <c r="E330" i="24"/>
  <c r="F413" i="24"/>
  <c r="E170" i="24"/>
  <c r="F971" i="24"/>
  <c r="E433" i="24"/>
  <c r="E1602" i="24"/>
  <c r="F1575" i="24"/>
  <c r="M1539" i="7"/>
  <c r="M1533" i="7"/>
  <c r="E1540" i="17"/>
  <c r="F1081" i="17"/>
  <c r="N1080" i="7"/>
  <c r="N1073" i="7"/>
  <c r="F376" i="17"/>
  <c r="N375" i="7"/>
  <c r="N366" i="7"/>
  <c r="F86" i="17"/>
  <c r="N85" i="7"/>
  <c r="N78" i="7"/>
  <c r="F151" i="17"/>
  <c r="N150" i="7"/>
  <c r="N140" i="7"/>
  <c r="F427" i="24"/>
  <c r="F1324" i="24"/>
  <c r="E346" i="24"/>
  <c r="F999" i="24"/>
  <c r="E347" i="24"/>
  <c r="E1544" i="24"/>
  <c r="E481" i="24"/>
  <c r="F1550" i="24"/>
  <c r="F609" i="24"/>
  <c r="E39" i="24"/>
  <c r="E1444" i="24"/>
  <c r="F557" i="24"/>
  <c r="E1093" i="24"/>
  <c r="E1577" i="24"/>
  <c r="E338" i="24"/>
  <c r="E195" i="24"/>
  <c r="E893" i="24"/>
  <c r="F585" i="24"/>
  <c r="F406" i="24"/>
  <c r="F830" i="24"/>
  <c r="F344" i="24"/>
  <c r="E384" i="24"/>
  <c r="E1192" i="24"/>
  <c r="E645" i="24"/>
  <c r="F863" i="24"/>
  <c r="F850" i="24"/>
  <c r="E937" i="24"/>
  <c r="F1091" i="24"/>
  <c r="F887" i="24"/>
  <c r="F1478" i="24"/>
  <c r="F1366" i="24"/>
  <c r="E121" i="24"/>
  <c r="F249" i="24"/>
  <c r="F543" i="24"/>
  <c r="F1578" i="24"/>
  <c r="E1114" i="24"/>
  <c r="E1416" i="24"/>
  <c r="F757" i="24"/>
  <c r="E895" i="24"/>
  <c r="F60" i="24"/>
  <c r="F991" i="24"/>
  <c r="F45" i="24"/>
  <c r="E1090" i="24"/>
  <c r="F952" i="24"/>
  <c r="M1211" i="7"/>
  <c r="M1205" i="7"/>
  <c r="E1212" i="17"/>
  <c r="E403" i="24"/>
  <c r="F1159" i="24"/>
  <c r="F54" i="24"/>
  <c r="F1505" i="24"/>
  <c r="E129" i="24"/>
  <c r="M1600" i="7"/>
  <c r="M1592" i="7"/>
  <c r="E1601" i="17"/>
  <c r="F712" i="24"/>
  <c r="E98" i="24"/>
  <c r="E1378" i="24"/>
  <c r="F1499" i="24"/>
  <c r="E942" i="24"/>
  <c r="F1316" i="24"/>
  <c r="F1280" i="24"/>
  <c r="F819" i="24"/>
  <c r="E1102" i="24"/>
  <c r="F36" i="24"/>
  <c r="E431" i="24"/>
  <c r="E1191" i="24"/>
  <c r="E619" i="24"/>
  <c r="F1548" i="24"/>
  <c r="F97" i="24"/>
  <c r="E922" i="24"/>
  <c r="F331" i="24"/>
  <c r="E1246" i="24"/>
  <c r="F815" i="24"/>
  <c r="E809" i="24"/>
  <c r="F1368" i="24"/>
  <c r="E15" i="17"/>
  <c r="M14" i="7"/>
  <c r="M5" i="7"/>
  <c r="E202" i="24"/>
  <c r="E1425" i="24"/>
  <c r="F1287" i="24"/>
  <c r="F977" i="24"/>
  <c r="F1628" i="24"/>
  <c r="E642" i="24"/>
  <c r="F972" i="24"/>
  <c r="E685" i="24"/>
  <c r="F259" i="24"/>
  <c r="E1640" i="24"/>
  <c r="F283" i="24"/>
  <c r="E1641" i="24"/>
  <c r="F430" i="24"/>
  <c r="E1118" i="24"/>
  <c r="E567" i="24"/>
  <c r="F1109" i="24"/>
  <c r="F1301" i="24"/>
  <c r="F469" i="24"/>
  <c r="E1508" i="24"/>
  <c r="E261" i="24"/>
  <c r="E52" i="24"/>
  <c r="F749" i="24"/>
  <c r="E361" i="24"/>
  <c r="E214" i="24"/>
  <c r="F545" i="24"/>
  <c r="E482" i="24"/>
  <c r="E1103" i="24"/>
  <c r="F318" i="24"/>
  <c r="E533" i="24"/>
  <c r="F1138" i="24"/>
  <c r="E365" i="24"/>
  <c r="E897" i="24"/>
  <c r="E229" i="24"/>
  <c r="F951" i="24"/>
  <c r="F1562" i="24"/>
  <c r="E1426" i="24"/>
  <c r="F248" i="24"/>
  <c r="E1058" i="24"/>
  <c r="E72" i="24"/>
  <c r="F306" i="24"/>
  <c r="F552" i="24"/>
  <c r="F1215" i="24"/>
  <c r="E1024" i="24"/>
  <c r="E1543" i="24"/>
  <c r="E607" i="24"/>
  <c r="F32" i="24"/>
  <c r="F992" i="24"/>
  <c r="E1056" i="24"/>
  <c r="E1560" i="24"/>
  <c r="E128" i="24"/>
  <c r="E1000" i="24"/>
  <c r="F515" i="24"/>
  <c r="E612" i="24"/>
  <c r="F472" i="24"/>
  <c r="F1216" i="24"/>
  <c r="F210" i="24"/>
  <c r="E1529" i="24"/>
  <c r="F401" i="24"/>
  <c r="E599" i="17"/>
  <c r="M598" i="7"/>
  <c r="M588" i="7"/>
  <c r="E18" i="24"/>
  <c r="E963" i="24"/>
  <c r="E470" i="24"/>
  <c r="F246" i="17"/>
  <c r="N245" i="7"/>
  <c r="N237" i="7"/>
  <c r="E1120" i="24"/>
  <c r="E538" i="24"/>
  <c r="F559" i="24"/>
  <c r="F1621" i="24"/>
  <c r="F490" i="24"/>
  <c r="F1202" i="24"/>
  <c r="E1089" i="24"/>
  <c r="E715" i="24"/>
  <c r="F1507" i="24"/>
  <c r="E892" i="24"/>
  <c r="E272" i="24"/>
  <c r="E678" i="24"/>
  <c r="F1122" i="24"/>
  <c r="E151" i="17"/>
  <c r="M150" i="7"/>
  <c r="M140" i="7"/>
  <c r="E1522" i="24"/>
  <c r="F1286" i="24"/>
  <c r="F1618" i="24"/>
  <c r="F394" i="24"/>
  <c r="E1229" i="24"/>
  <c r="E492" i="24"/>
  <c r="F947" i="24"/>
  <c r="F1247" i="24"/>
  <c r="E1619" i="24"/>
  <c r="F890" i="24"/>
  <c r="F264" i="24"/>
  <c r="F1442" i="24"/>
  <c r="E1549" i="24"/>
  <c r="E1633" i="24"/>
  <c r="E709" i="24"/>
  <c r="F744" i="24"/>
  <c r="F357" i="24"/>
  <c r="F465" i="24"/>
  <c r="F900" i="24"/>
  <c r="E353" i="24"/>
  <c r="E551" i="24"/>
  <c r="E1371" i="24"/>
  <c r="E38" i="24"/>
  <c r="F899" i="24"/>
  <c r="E1289" i="24"/>
  <c r="F862" i="24"/>
  <c r="E811" i="24"/>
  <c r="F1625" i="24"/>
  <c r="F230" i="24"/>
  <c r="E698" i="24"/>
  <c r="E1391" i="24"/>
  <c r="F1086" i="24"/>
  <c r="F94" i="24"/>
  <c r="E741" i="24"/>
  <c r="F623" i="24"/>
  <c r="F1379" i="24"/>
  <c r="E57" i="24"/>
  <c r="E778" i="24"/>
  <c r="E565" i="24"/>
  <c r="F694" i="24"/>
  <c r="E1181" i="24"/>
  <c r="E1046" i="24"/>
  <c r="F1359" i="24"/>
  <c r="E829" i="24"/>
  <c r="F101" i="24"/>
  <c r="F1648" i="24"/>
  <c r="E348" i="24"/>
  <c r="F327" i="24"/>
  <c r="E1085" i="24"/>
  <c r="E1038" i="24"/>
  <c r="F439" i="24"/>
  <c r="F1104" i="24"/>
  <c r="E491" i="24"/>
  <c r="E46" i="24"/>
  <c r="E1632" i="24"/>
  <c r="F576" i="24"/>
  <c r="F622" i="24"/>
  <c r="F964" i="24"/>
  <c r="F1611" i="24"/>
  <c r="E883" i="24"/>
  <c r="F432" i="24"/>
  <c r="E561" i="24"/>
  <c r="E407" i="24"/>
  <c r="F985" i="24"/>
  <c r="E207" i="24"/>
  <c r="E1144" i="24"/>
  <c r="E489" i="24"/>
  <c r="F700" i="24"/>
  <c r="F1428" i="24"/>
  <c r="F1436" i="24"/>
  <c r="E1260" i="24"/>
  <c r="E305" i="24"/>
  <c r="F692" i="24"/>
  <c r="E1509" i="24"/>
  <c r="F498" i="24"/>
  <c r="E1186" i="24"/>
  <c r="E1622" i="24"/>
  <c r="F23" i="24"/>
  <c r="E1406" i="24"/>
  <c r="E1502" i="24"/>
  <c r="E1579" i="24"/>
  <c r="E1250" i="24"/>
  <c r="E1227" i="24"/>
  <c r="E1496" i="24"/>
  <c r="F1512" i="24"/>
  <c r="F708" i="24"/>
  <c r="E834" i="24"/>
  <c r="E746" i="24"/>
  <c r="F742" i="24"/>
  <c r="F646" i="24"/>
  <c r="F227" i="24"/>
  <c r="E1488" i="24"/>
  <c r="E64" i="24"/>
  <c r="E1224" i="24"/>
  <c r="F478" i="24"/>
  <c r="F428" i="24"/>
  <c r="F959" i="24"/>
  <c r="E138" i="24"/>
  <c r="E877" i="24"/>
  <c r="E221" i="24"/>
  <c r="F350" i="24"/>
  <c r="F1421" i="24"/>
  <c r="E199" i="24"/>
  <c r="E314" i="24"/>
  <c r="F635" i="24"/>
  <c r="E720" i="24"/>
  <c r="E983" i="24"/>
  <c r="E925" i="24"/>
  <c r="F632" i="24"/>
  <c r="E1554" i="24"/>
  <c r="F716" i="24"/>
  <c r="E1422" i="24"/>
  <c r="F66" i="24"/>
  <c r="E1402" i="24"/>
  <c r="F1574" i="24"/>
  <c r="E857" i="24"/>
  <c r="E747" i="24"/>
  <c r="E1162" i="24"/>
  <c r="E477" i="24"/>
  <c r="E1016" i="24"/>
  <c r="F1439" i="24"/>
  <c r="F702" i="24"/>
  <c r="E20" i="24"/>
  <c r="E103" i="24"/>
  <c r="F1321" i="24"/>
  <c r="E336" i="24"/>
  <c r="E1647" i="24"/>
  <c r="E1263" i="24"/>
  <c r="E87" i="24"/>
  <c r="F722" i="24"/>
  <c r="F756" i="24"/>
  <c r="F268" i="24"/>
  <c r="F211" i="24"/>
  <c r="F454" i="24"/>
  <c r="E33" i="24"/>
  <c r="E106" i="24"/>
  <c r="F1475" i="24"/>
  <c r="F831" i="24"/>
  <c r="E530" i="24"/>
  <c r="E1501" i="24"/>
  <c r="F1412" i="24"/>
  <c r="F1015" i="24"/>
  <c r="E705" i="24"/>
  <c r="F184" i="24"/>
  <c r="E510" i="24"/>
  <c r="F691" i="24"/>
  <c r="E56" i="24"/>
  <c r="E179" i="24"/>
  <c r="F1055" i="24"/>
  <c r="E512" i="24"/>
  <c r="E1584" i="24"/>
  <c r="F265" i="24"/>
  <c r="E262" i="24"/>
  <c r="F416" i="24"/>
  <c r="E1126" i="24"/>
  <c r="F111" i="24"/>
  <c r="F321" i="24"/>
  <c r="E570" i="24"/>
  <c r="F854" i="24"/>
  <c r="F511" i="24"/>
  <c r="E707" i="24"/>
  <c r="F342" i="24"/>
  <c r="E1256" i="24"/>
  <c r="E1299" i="24"/>
  <c r="F1470" i="24"/>
  <c r="E802" i="24"/>
  <c r="F780" i="24"/>
  <c r="E77" i="24"/>
  <c r="F876" i="24"/>
  <c r="E923" i="24"/>
  <c r="F818" i="24"/>
  <c r="F902" i="24"/>
  <c r="E537" i="24"/>
  <c r="F173" i="24"/>
  <c r="E181" i="24"/>
  <c r="F228" i="24"/>
  <c r="F540" i="24"/>
  <c r="F1119" i="24"/>
  <c r="F582" i="24"/>
  <c r="E1576" i="24"/>
  <c r="F1424" i="24"/>
  <c r="E1288" i="24"/>
  <c r="E1644" i="24"/>
  <c r="E35" i="24"/>
  <c r="F1013" i="17"/>
  <c r="N1012" i="7"/>
  <c r="N1005" i="7"/>
  <c r="E449" i="17"/>
  <c r="M448" i="7"/>
  <c r="M440" i="7"/>
  <c r="E733" i="17"/>
  <c r="M732" i="7"/>
  <c r="M725" i="7"/>
  <c r="F1111" i="24"/>
  <c r="E787" i="24"/>
  <c r="E1455" i="24"/>
  <c r="F1003" i="24"/>
  <c r="F484" i="24"/>
  <c r="E1308" i="24"/>
  <c r="F1540" i="17"/>
  <c r="N1539" i="7"/>
  <c r="N1533" i="7"/>
  <c r="E1354" i="24"/>
  <c r="E386" i="24"/>
  <c r="F603" i="24"/>
  <c r="F1591" i="24"/>
  <c r="E531" i="24"/>
  <c r="E1638" i="24"/>
  <c r="E721" i="24"/>
  <c r="E1331" i="24"/>
  <c r="F282" i="24"/>
  <c r="E1027" i="24"/>
  <c r="E643" i="24"/>
  <c r="F661" i="24"/>
  <c r="F485" i="24"/>
  <c r="E1390" i="24"/>
  <c r="F250" i="24"/>
  <c r="F1234" i="24"/>
  <c r="E1196" i="24"/>
  <c r="F1327" i="24"/>
  <c r="E583" i="24"/>
  <c r="F1407" i="24"/>
  <c r="E1231" i="24"/>
  <c r="F307" i="24"/>
  <c r="E1377" i="24"/>
  <c r="E988" i="24"/>
  <c r="F1418" i="24"/>
  <c r="E1613" i="24"/>
  <c r="E1241" i="24"/>
  <c r="F1251" i="24"/>
  <c r="E223" i="24"/>
  <c r="F1590" i="24"/>
  <c r="E59" i="24"/>
  <c r="E739" i="24"/>
  <c r="E1517" i="24"/>
  <c r="F153" i="24"/>
  <c r="F792" i="24"/>
  <c r="F1099" i="24"/>
  <c r="F1156" i="24"/>
  <c r="E1481" i="24"/>
  <c r="F1305" i="24"/>
  <c r="E1553" i="24"/>
  <c r="F468" i="24"/>
  <c r="E206" i="24"/>
  <c r="E379" i="24"/>
  <c r="F1100" i="24"/>
  <c r="F1313" i="24"/>
  <c r="F212" i="24"/>
  <c r="F658" i="24"/>
  <c r="F165" i="24"/>
  <c r="F945" i="24"/>
  <c r="E158" i="24"/>
  <c r="E680" i="24"/>
  <c r="E1176" i="24"/>
  <c r="E1182" i="24"/>
  <c r="F461" i="24"/>
  <c r="E987" i="24"/>
  <c r="E1491" i="24"/>
  <c r="F247" i="24"/>
  <c r="F326" i="24"/>
  <c r="F1238" i="24"/>
  <c r="F435" i="24"/>
  <c r="F894" i="24"/>
  <c r="F475" i="24"/>
  <c r="F1174" i="24"/>
  <c r="F1097" i="24"/>
  <c r="E1333" i="24"/>
  <c r="F1372" i="24"/>
  <c r="E986" i="24"/>
  <c r="F1292" i="24"/>
  <c r="E92" i="24"/>
  <c r="E1434" i="24"/>
  <c r="F696" i="24"/>
  <c r="E1049" i="24"/>
  <c r="E958" i="24"/>
  <c r="F281" i="24"/>
  <c r="F901" i="24"/>
  <c r="E1117" i="24"/>
  <c r="F73" i="24"/>
  <c r="F162" i="24"/>
  <c r="F323" i="24"/>
  <c r="F503" i="24"/>
  <c r="F939" i="24"/>
  <c r="F99" i="24"/>
  <c r="E574" i="24"/>
  <c r="E1328" i="24"/>
  <c r="E137" i="24"/>
  <c r="E48" i="24"/>
  <c r="F1164" i="24"/>
  <c r="F934" i="24"/>
  <c r="F1492" i="24"/>
  <c r="F1095" i="24"/>
  <c r="E1322" i="24"/>
  <c r="F1131" i="24"/>
  <c r="E1081" i="17"/>
  <c r="M1080" i="7"/>
  <c r="M1073" i="7"/>
  <c r="F453" i="24"/>
  <c r="E487" i="24"/>
  <c r="E1580" i="24"/>
  <c r="E666" i="24"/>
  <c r="E527" i="24"/>
  <c r="E1629" i="24"/>
  <c r="F1307" i="24"/>
  <c r="F1025" i="24"/>
  <c r="F1563" i="24"/>
  <c r="E861" i="24"/>
  <c r="E874" i="24"/>
  <c r="F790" i="24"/>
  <c r="F1457" i="24"/>
  <c r="F1017" i="24"/>
  <c r="E387" i="24"/>
  <c r="E1072" i="24"/>
  <c r="F875" i="24"/>
  <c r="E785" i="24"/>
  <c r="E777" i="24"/>
  <c r="F980" i="24"/>
  <c r="E360" i="24"/>
  <c r="F1486" i="24"/>
  <c r="E1201" i="24"/>
  <c r="F771" i="24"/>
  <c r="F324" i="24"/>
  <c r="F37" i="24"/>
  <c r="E1063" i="24"/>
  <c r="F289" i="24"/>
  <c r="F1365" i="24"/>
  <c r="F1061" i="24"/>
  <c r="F833" i="24"/>
  <c r="E789" i="24"/>
  <c r="F1420" i="24"/>
  <c r="E55" i="24"/>
  <c r="E775" i="24"/>
  <c r="E769" i="24"/>
  <c r="F978" i="24"/>
  <c r="F1157" i="24"/>
  <c r="E1431" i="24"/>
  <c r="F1262" i="24"/>
  <c r="F51" i="24"/>
  <c r="F1296" i="24"/>
  <c r="F1356" i="24"/>
  <c r="E740" i="24"/>
  <c r="E325" i="24"/>
  <c r="F884" i="24"/>
  <c r="E1199" i="24"/>
  <c r="F1381" i="24"/>
  <c r="E649" i="24"/>
  <c r="F1220" i="24"/>
  <c r="E1511" i="24"/>
  <c r="E962" i="24"/>
  <c r="E1310" i="24"/>
  <c r="F1320" i="24"/>
  <c r="F483" i="24"/>
  <c r="E334" i="24"/>
  <c r="F1295" i="24"/>
  <c r="E1631" i="24"/>
  <c r="E404" i="24"/>
  <c r="F931" i="24"/>
  <c r="F438" i="24"/>
  <c r="F115" i="24"/>
  <c r="E1300" i="24"/>
  <c r="E639" i="24"/>
  <c r="E1266" i="24"/>
  <c r="E41" i="24"/>
  <c r="F1432" i="24"/>
  <c r="E1605" i="24"/>
  <c r="F421" i="24"/>
  <c r="E337" i="24"/>
  <c r="F1213" i="24"/>
  <c r="E1441" i="24"/>
  <c r="F507" i="24"/>
  <c r="E774" i="24"/>
  <c r="E791" i="24"/>
  <c r="E182" i="24"/>
  <c r="E308" i="24"/>
  <c r="E817" i="24"/>
  <c r="F628" i="24"/>
  <c r="F1193" i="24"/>
  <c r="F118" i="24"/>
  <c r="F1134" i="24"/>
  <c r="E918" i="24"/>
  <c r="F312" i="24"/>
  <c r="E504" i="24"/>
  <c r="E836" i="24"/>
  <c r="F641" i="24"/>
  <c r="F187" i="24"/>
  <c r="M375" i="7"/>
  <c r="M366" i="7"/>
  <c r="E376" i="17"/>
  <c r="E1361" i="24"/>
  <c r="E316" i="24"/>
  <c r="F1221" i="24"/>
  <c r="F291" i="24"/>
  <c r="F1458" i="24"/>
  <c r="F167" i="24"/>
  <c r="F177" i="24"/>
  <c r="E555" i="24"/>
  <c r="F1483" i="24"/>
  <c r="E251" i="24"/>
  <c r="F920" i="24"/>
  <c r="E566" i="24"/>
  <c r="E717" i="24"/>
  <c r="E586" i="24"/>
  <c r="F814" i="24"/>
  <c r="F665" i="24"/>
  <c r="F1606" i="24"/>
  <c r="E529" i="24"/>
  <c r="E474" i="24"/>
  <c r="F315" i="24"/>
  <c r="F1315" i="24"/>
  <c r="E1353" i="24"/>
  <c r="E1445" i="24"/>
  <c r="F116" i="24"/>
  <c r="F1557" i="24"/>
  <c r="F1036" i="24"/>
  <c r="E1646" i="24"/>
  <c r="E838" i="24"/>
  <c r="E418" i="24"/>
  <c r="F1105" i="24"/>
  <c r="F126" i="24"/>
  <c r="E734" i="24"/>
  <c r="E216" i="24"/>
  <c r="F96" i="24"/>
  <c r="E155" i="24"/>
  <c r="E601" i="24"/>
  <c r="E1514" i="24"/>
  <c r="E358" i="24"/>
  <c r="E1279" i="24"/>
  <c r="E584" i="24"/>
  <c r="E1124" i="24"/>
  <c r="F42" i="24"/>
  <c r="F1165" i="24"/>
  <c r="F783" i="24"/>
  <c r="E1479" i="24"/>
  <c r="E1106" i="24"/>
  <c r="F1601" i="17"/>
  <c r="N1600" i="7"/>
  <c r="N1592" i="7"/>
  <c r="F15" i="17"/>
  <c r="N14" i="7"/>
  <c r="N5" i="7"/>
  <c r="F599" i="17"/>
  <c r="N598" i="7"/>
  <c r="N588" i="7"/>
  <c r="F1154" i="17"/>
  <c r="N1153" i="7"/>
  <c r="N1145" i="7"/>
  <c r="N525" i="7"/>
  <c r="N516" i="7"/>
  <c r="F526" i="17"/>
  <c r="E676" i="17"/>
  <c r="M675" i="7"/>
  <c r="M668" i="7"/>
  <c r="E851" i="17"/>
  <c r="M850" i="7"/>
  <c r="M843" i="7"/>
  <c r="N299" i="7"/>
  <c r="N292" i="7"/>
  <c r="F300" i="17"/>
  <c r="N913" i="7"/>
  <c r="N903" i="7"/>
  <c r="F914" i="17"/>
  <c r="E770" i="17"/>
  <c r="M769" i="7"/>
  <c r="M759" i="7"/>
  <c r="F1399" i="17"/>
  <c r="N1398" i="7"/>
  <c r="N1392" i="7"/>
  <c r="M1342" i="7"/>
  <c r="M1334" i="7"/>
  <c r="E1343" i="17"/>
  <c r="M1277" i="7"/>
  <c r="M1267" i="7"/>
  <c r="E1278" i="17"/>
  <c r="M245" i="7"/>
  <c r="M237" i="7"/>
  <c r="E246" i="17"/>
  <c r="M1466" i="7"/>
  <c r="M1459" i="7"/>
  <c r="E1467" i="17"/>
  <c r="F1037" i="24"/>
  <c r="F697" i="24"/>
  <c r="E1225" i="24"/>
  <c r="F1528" i="24"/>
  <c r="E1167" i="24"/>
  <c r="E71" i="24"/>
  <c r="E311" i="24"/>
  <c r="E885" i="24"/>
  <c r="E185" i="24"/>
  <c r="F1171" i="24"/>
  <c r="E689" i="24"/>
  <c r="E755" i="24"/>
  <c r="F1384" i="24"/>
  <c r="F568" i="24"/>
  <c r="E58" i="24"/>
  <c r="E654" i="24"/>
  <c r="F219" i="24"/>
  <c r="E476" i="24"/>
  <c r="E812" i="24"/>
  <c r="E86" i="17"/>
  <c r="M85" i="7"/>
  <c r="M78" i="7"/>
  <c r="F169" i="24"/>
  <c r="F1161" i="24"/>
  <c r="F803" i="24"/>
  <c r="F178" i="24"/>
  <c r="F558" i="24"/>
  <c r="F1237" i="24"/>
  <c r="F1523" i="24"/>
  <c r="F425" i="24"/>
  <c r="F1129" i="24"/>
  <c r="F1088" i="24"/>
  <c r="F647" i="24"/>
  <c r="E1624" i="24"/>
  <c r="E580" i="24"/>
  <c r="F618" i="24"/>
  <c r="F451" i="24"/>
  <c r="E614" i="24"/>
  <c r="E1581" i="24"/>
  <c r="F1214" i="24"/>
  <c r="F102" i="24"/>
  <c r="F1184" i="24"/>
  <c r="F960" i="24"/>
  <c r="E1107" i="24"/>
  <c r="E955" i="24"/>
  <c r="N1211" i="7"/>
  <c r="N1205" i="7"/>
  <c r="F1212" i="17"/>
  <c r="F457" i="24"/>
  <c r="E1374" i="24"/>
  <c r="E258" i="24"/>
  <c r="F933" i="24"/>
  <c r="F796" i="24"/>
  <c r="F1082" i="24"/>
  <c r="F822" i="24"/>
  <c r="F968" i="24"/>
  <c r="F1582" i="24"/>
  <c r="E967" i="24"/>
  <c r="E532" i="24"/>
  <c r="F943" i="24"/>
  <c r="F1380" i="24"/>
  <c r="E493" i="24"/>
  <c r="F1389" i="24"/>
  <c r="E1040" i="24"/>
  <c r="F974" i="24"/>
  <c r="F946" i="24"/>
  <c r="E27" i="24"/>
  <c r="F577" i="24"/>
  <c r="E1527" i="24"/>
  <c r="F486" i="24"/>
  <c r="E1497" i="24"/>
  <c r="E393" i="24"/>
  <c r="F382" i="24"/>
  <c r="E154" i="24"/>
  <c r="F560" i="24"/>
  <c r="E656" i="24"/>
  <c r="E638" i="24"/>
  <c r="E1051" i="24"/>
  <c r="E1650" i="24"/>
  <c r="E663" i="24"/>
  <c r="E554" i="24"/>
  <c r="F1318" i="24"/>
  <c r="E1348" i="24"/>
  <c r="E349" i="24"/>
  <c r="F1121" i="24"/>
  <c r="E805" i="24"/>
  <c r="E1516" i="24"/>
  <c r="F1636" i="24"/>
  <c r="E1060" i="24"/>
  <c r="F285" i="24"/>
  <c r="E1500" i="24"/>
  <c r="F497" i="24"/>
  <c r="F1657" i="24"/>
  <c r="E1555" i="24"/>
  <c r="E1449" i="24"/>
  <c r="E1612" i="24"/>
  <c r="E724" i="24"/>
  <c r="E1400" i="24"/>
  <c r="E1398" i="24"/>
  <c r="E1020" i="24"/>
  <c r="E1154" i="17"/>
  <c r="M1153" i="7"/>
  <c r="M1145" i="7"/>
  <c r="E231" i="24"/>
  <c r="F629" i="24"/>
  <c r="E513" i="24"/>
  <c r="E1139" i="24"/>
  <c r="F1323" i="24"/>
  <c r="F613" i="24"/>
  <c r="F132" i="24"/>
  <c r="F172" i="24"/>
  <c r="E738" i="24"/>
  <c r="E637" i="24"/>
  <c r="E1639" i="24"/>
  <c r="F870" i="24"/>
  <c r="E395" i="24"/>
  <c r="E1233" i="24"/>
  <c r="F662" i="24"/>
  <c r="F124" i="24"/>
  <c r="F1485" i="24"/>
  <c r="E664" i="24"/>
  <c r="E377" i="24"/>
  <c r="E1346" i="24"/>
  <c r="E1410" i="24"/>
  <c r="E526" i="17"/>
  <c r="M525" i="7"/>
  <c r="M516" i="7"/>
  <c r="F68" i="24"/>
  <c r="F494" i="24"/>
  <c r="E410" i="24"/>
  <c r="E269" i="24"/>
  <c r="F1018" i="24"/>
  <c r="E1573" i="24"/>
  <c r="E1630" i="24"/>
  <c r="F798" i="24"/>
  <c r="E1064" i="24"/>
  <c r="F191" i="24"/>
  <c r="E218" i="24"/>
  <c r="F19" i="24"/>
  <c r="E1347" i="24"/>
  <c r="F260" i="24"/>
  <c r="E117" i="24"/>
  <c r="E1583" i="24"/>
  <c r="F539" i="24"/>
  <c r="E751" i="24"/>
  <c r="E711" i="24"/>
  <c r="F105" i="24"/>
  <c r="F215" i="24"/>
  <c r="F1447" i="24"/>
  <c r="E24" i="24"/>
  <c r="F1587" i="24"/>
  <c r="F396" i="24"/>
  <c r="F564" i="24"/>
  <c r="F63" i="24"/>
  <c r="E1604" i="24"/>
  <c r="E1600" i="24"/>
  <c r="F860" i="24"/>
  <c r="F463" i="24"/>
  <c r="F1476" i="24"/>
  <c r="F1043" i="24"/>
  <c r="E1360" i="24"/>
  <c r="F686" i="24"/>
  <c r="F1141" i="24"/>
  <c r="E235" i="24"/>
  <c r="F606" i="24"/>
  <c r="F1113" i="24"/>
  <c r="F1054" i="24"/>
  <c r="E341" i="24"/>
  <c r="F1240" i="24"/>
  <c r="F419" i="24"/>
  <c r="E1071" i="24"/>
  <c r="E807" i="24"/>
  <c r="F1438" i="24"/>
  <c r="F204" i="24"/>
  <c r="F1610" i="24"/>
  <c r="F659" i="24"/>
  <c r="E1317" i="24"/>
  <c r="F1235" i="24"/>
  <c r="F1409" i="24"/>
  <c r="F1569" i="24"/>
  <c r="F690" i="24"/>
  <c r="E630" i="24"/>
  <c r="E1430" i="24"/>
  <c r="F456" i="24"/>
  <c r="E343" i="24"/>
  <c r="E1627" i="24"/>
  <c r="E1656" i="24"/>
  <c r="F1183" i="24"/>
  <c r="F422" i="24"/>
  <c r="E611" i="24"/>
  <c r="F832" i="24"/>
  <c r="E982" i="24"/>
  <c r="F1135" i="24"/>
  <c r="E234" i="24"/>
  <c r="E948" i="24"/>
  <c r="E1070" i="24"/>
  <c r="E706" i="24"/>
  <c r="E290" i="24"/>
  <c r="F1253" i="24"/>
  <c r="F1620" i="24"/>
  <c r="E1281" i="24"/>
  <c r="F112" i="24"/>
  <c r="F1547" i="24"/>
  <c r="F1284" i="24"/>
  <c r="E1031" i="24"/>
  <c r="E772" i="24"/>
  <c r="E1052" i="24"/>
  <c r="E1014" i="24"/>
  <c r="E1551" i="24"/>
  <c r="E1285" i="24"/>
  <c r="N675" i="7"/>
  <c r="N668" i="7"/>
  <c r="F676" i="17"/>
  <c r="F174" i="24"/>
  <c r="E810" i="24"/>
  <c r="E1623" i="24"/>
  <c r="F411" i="24"/>
  <c r="E1067" i="24"/>
  <c r="F479" i="24"/>
  <c r="E1257" i="24"/>
  <c r="E67" i="24"/>
  <c r="F998" i="24"/>
  <c r="E873" i="24"/>
  <c r="F309" i="24"/>
  <c r="E994" i="24"/>
  <c r="E1653" i="24"/>
  <c r="F1002" i="24"/>
  <c r="E617" i="24"/>
  <c r="F16" i="24"/>
  <c r="F31" i="24"/>
  <c r="F49" i="24"/>
  <c r="E1092" i="24"/>
  <c r="E303" i="24"/>
  <c r="F278" i="24"/>
  <c r="F1344" i="24"/>
  <c r="E255" i="24"/>
  <c r="F288" i="24"/>
  <c r="E30" i="24"/>
  <c r="E157" i="24"/>
  <c r="E1175" i="24"/>
  <c r="F205" i="24"/>
  <c r="E1351" i="24"/>
  <c r="E1552" i="24"/>
  <c r="F385" i="24"/>
  <c r="E648" i="24"/>
  <c r="F871" i="24"/>
  <c r="E868" i="24"/>
  <c r="F183" i="24"/>
  <c r="E572" i="24"/>
  <c r="E400" i="24"/>
  <c r="F820" i="24"/>
  <c r="E1265" i="24"/>
  <c r="F941" i="24"/>
  <c r="F163" i="24"/>
  <c r="F1609" i="24"/>
  <c r="E835" i="24"/>
  <c r="E359" i="24"/>
  <c r="E1446" i="24"/>
  <c r="E865" i="24"/>
  <c r="E683" i="24"/>
  <c r="E53" i="24"/>
  <c r="F1230" i="24"/>
  <c r="E351" i="24"/>
  <c r="F546" i="24"/>
  <c r="F1059" i="24"/>
  <c r="F1137" i="24"/>
  <c r="E1429" i="24"/>
  <c r="F1383" i="24"/>
  <c r="E378" i="24"/>
  <c r="E1236" i="24"/>
  <c r="E88" i="24"/>
  <c r="F1559" i="24"/>
  <c r="E935" i="24"/>
  <c r="F133" i="24"/>
  <c r="F575" i="24"/>
  <c r="F89" i="24"/>
  <c r="F750" i="24"/>
  <c r="E1228" i="24"/>
  <c r="E420" i="24"/>
  <c r="F837" i="24"/>
  <c r="F429" i="24"/>
  <c r="E1283" i="24"/>
  <c r="E1364" i="24"/>
  <c r="F1314" i="24"/>
  <c r="F1303" i="24"/>
  <c r="F62" i="24"/>
  <c r="E679" i="24"/>
  <c r="F534" i="24"/>
  <c r="E634" i="24"/>
  <c r="E252" i="24"/>
  <c r="F131" i="24"/>
  <c r="E110" i="24"/>
  <c r="F1357" i="24"/>
  <c r="E869" i="24"/>
  <c r="F1564" i="24"/>
  <c r="F1345" i="24"/>
  <c r="F1342" i="24"/>
  <c r="E1531" i="24"/>
  <c r="E1185" i="24"/>
  <c r="E1572" i="24"/>
  <c r="F627" i="24"/>
  <c r="F1047" i="24"/>
  <c r="F76" i="24"/>
  <c r="E399" i="24"/>
  <c r="F851" i="17"/>
  <c r="N850" i="7"/>
  <c r="N843" i="7"/>
  <c r="F200" i="24"/>
  <c r="F313" i="24"/>
  <c r="E1170" i="24"/>
  <c r="F667" i="24"/>
  <c r="F879" i="24"/>
  <c r="F1570" i="24"/>
  <c r="E1026" i="24"/>
  <c r="F1115" i="24"/>
  <c r="E753" i="24"/>
  <c r="E610" i="24"/>
  <c r="F782" i="24"/>
  <c r="M299" i="7"/>
  <c r="M292" i="7"/>
  <c r="E300" i="17"/>
  <c r="F190" i="24"/>
  <c r="F1140" i="24"/>
  <c r="F1282" i="24"/>
  <c r="E1160" i="24"/>
  <c r="E981" i="24"/>
  <c r="F536" i="24"/>
  <c r="M913" i="7"/>
  <c r="M903" i="7"/>
  <c r="E914" i="17"/>
  <c r="F1029" i="24"/>
  <c r="F405" i="24"/>
  <c r="E781" i="24"/>
  <c r="F340" i="24"/>
  <c r="F859" i="24"/>
  <c r="F1087" i="24"/>
  <c r="F616" i="24"/>
  <c r="F784" i="24"/>
  <c r="F459" i="24"/>
  <c r="E417" i="24"/>
  <c r="E1021" i="24"/>
  <c r="E276" i="24"/>
  <c r="E1197" i="24"/>
  <c r="F615" i="24"/>
  <c r="E310" i="24"/>
  <c r="E1367" i="24"/>
  <c r="F209" i="24"/>
  <c r="F687" i="24"/>
  <c r="F773" i="24"/>
  <c r="F1319" i="24"/>
  <c r="E1541" i="24"/>
  <c r="F363" i="24"/>
  <c r="F776" i="24"/>
  <c r="E1643" i="24"/>
  <c r="N1466" i="7"/>
  <c r="N1459" i="7"/>
  <c r="F1467" i="17"/>
  <c r="E1142" i="24"/>
  <c r="E1019" i="24"/>
  <c r="F232" i="24"/>
  <c r="F1411" i="24"/>
  <c r="E213" i="24"/>
  <c r="F1524" i="24"/>
  <c r="F253" i="24"/>
  <c r="F1290" i="24"/>
  <c r="E193" i="24"/>
  <c r="F74" i="24"/>
  <c r="E208" i="24"/>
  <c r="F624" i="24"/>
  <c r="E168" i="24"/>
  <c r="E758" i="24"/>
  <c r="F270" i="24"/>
  <c r="E1218" i="24"/>
  <c r="E1493" i="24"/>
  <c r="F192" i="24"/>
  <c r="E1128" i="24"/>
  <c r="E1440" i="24"/>
  <c r="E927" i="24"/>
  <c r="E301" i="24"/>
  <c r="F1495" i="24"/>
  <c r="E682" i="24"/>
  <c r="E1330" i="24"/>
  <c r="F1188" i="24"/>
  <c r="F1133" i="24"/>
  <c r="E1022" i="24"/>
  <c r="F651" i="24"/>
  <c r="E286" i="24"/>
  <c r="F1326" i="24"/>
  <c r="F655" i="24"/>
  <c r="E1450" i="24"/>
  <c r="E650" i="24"/>
  <c r="E287" i="24"/>
  <c r="E1249" i="24"/>
  <c r="E1226" i="24"/>
  <c r="E1615" i="24"/>
  <c r="F271" i="24"/>
  <c r="E134" i="24"/>
  <c r="F1489" i="24"/>
  <c r="E841" i="24"/>
  <c r="F402" i="24"/>
  <c r="E333" i="24"/>
  <c r="E22" i="24"/>
  <c r="E1355" i="24"/>
  <c r="E176" i="24"/>
  <c r="E1349" i="24"/>
  <c r="F770" i="17"/>
  <c r="N769" i="7"/>
  <c r="N759" i="7"/>
  <c r="F1565" i="24"/>
  <c r="F950" i="24"/>
  <c r="F1039" i="24"/>
  <c r="E1298" i="24"/>
  <c r="F119" i="24"/>
  <c r="F872" i="24"/>
  <c r="E626" i="24"/>
  <c r="F345" i="24"/>
  <c r="E389" i="24"/>
  <c r="E1645" i="24"/>
  <c r="E319" i="24"/>
  <c r="E226" i="24"/>
  <c r="F1626" i="24"/>
  <c r="F916" i="24"/>
  <c r="F1329" i="24"/>
  <c r="F878" i="24"/>
  <c r="E693" i="24"/>
  <c r="E61" i="24"/>
  <c r="E799" i="24"/>
  <c r="E409" i="24"/>
  <c r="F636" i="24"/>
  <c r="F1456" i="24"/>
  <c r="F1571" i="24"/>
  <c r="E1180" i="24"/>
  <c r="F979" i="24"/>
  <c r="F514" i="24"/>
  <c r="E122" i="24"/>
  <c r="F1437" i="24"/>
  <c r="E644" i="24"/>
  <c r="F1222" i="24"/>
  <c r="E467" i="24"/>
  <c r="F1376" i="24"/>
  <c r="F684" i="24"/>
  <c r="E43" i="24"/>
  <c r="E1545" i="24"/>
  <c r="E1261" i="24"/>
  <c r="F1503" i="24"/>
  <c r="F495" i="24"/>
  <c r="E1448" i="24"/>
  <c r="F889" i="24"/>
  <c r="F965" i="24"/>
  <c r="E90" i="24"/>
  <c r="F130" i="24"/>
  <c r="E1297" i="24"/>
  <c r="E135" i="24"/>
  <c r="F47" i="24"/>
  <c r="E1373" i="24"/>
  <c r="F915" i="24"/>
  <c r="E1187" i="24"/>
  <c r="E936" i="24"/>
  <c r="F528" i="24"/>
  <c r="F1637" i="24"/>
  <c r="E1453" i="24"/>
  <c r="F29" i="24"/>
  <c r="F1048" i="24"/>
  <c r="E1423" i="24"/>
  <c r="E919" i="24"/>
  <c r="E954" i="24"/>
  <c r="F26" i="24"/>
  <c r="F104" i="24"/>
  <c r="E840" i="24"/>
  <c r="E1053" i="24"/>
  <c r="F984" i="24"/>
  <c r="F464" i="24"/>
  <c r="E718" i="24"/>
  <c r="E535" i="24"/>
  <c r="F1358" i="24"/>
  <c r="E1558" i="24"/>
  <c r="F166" i="24"/>
  <c r="E1094" i="24"/>
  <c r="E473" i="24"/>
  <c r="F956" i="24"/>
  <c r="F1435" i="24"/>
  <c r="E100" i="24"/>
  <c r="E882" i="24"/>
  <c r="F944" i="24"/>
  <c r="F1471" i="24"/>
  <c r="E274" i="24"/>
  <c r="F136" i="24"/>
  <c r="E194" i="24"/>
  <c r="F677" i="24"/>
  <c r="E1168" i="24"/>
  <c r="E1194" i="24"/>
  <c r="E824" i="24"/>
  <c r="F886" i="24"/>
  <c r="F1057" i="24"/>
  <c r="F701" i="24"/>
  <c r="E388" i="24"/>
  <c r="F961" i="24"/>
  <c r="F458" i="24"/>
  <c r="F699" i="24"/>
  <c r="F201" i="24"/>
  <c r="F408" i="24"/>
  <c r="F1245" i="24"/>
  <c r="E1652" i="24"/>
  <c r="E898" i="24"/>
  <c r="E1255" i="24"/>
  <c r="F713" i="24"/>
  <c r="F891" i="24"/>
  <c r="F391" i="24"/>
  <c r="E853" i="24"/>
  <c r="F1404" i="24"/>
  <c r="F1098" i="24"/>
  <c r="E855" i="24"/>
  <c r="E1252" i="24"/>
  <c r="E571" i="24"/>
  <c r="E1513" i="24"/>
  <c r="F480" i="24"/>
  <c r="F279" i="24"/>
  <c r="E578" i="24"/>
  <c r="E1178" i="24"/>
  <c r="E652" i="24"/>
  <c r="E1311" i="24"/>
  <c r="E957" i="24"/>
  <c r="F1035" i="24"/>
  <c r="E25" i="24"/>
  <c r="F256" i="24"/>
  <c r="E1651" i="24"/>
  <c r="F1034" i="24"/>
  <c r="E277" i="24"/>
  <c r="E1515" i="24"/>
  <c r="E1603" i="24"/>
  <c r="E120" i="24"/>
  <c r="F1469" i="24"/>
  <c r="E499" i="24"/>
  <c r="F1306" i="24"/>
  <c r="F152" i="24"/>
  <c r="F1190" i="24"/>
  <c r="E1195" i="24"/>
  <c r="F736" i="24"/>
  <c r="F423" i="24"/>
  <c r="F917" i="24"/>
  <c r="F236" i="24"/>
  <c r="F1542" i="24"/>
  <c r="F823" i="24"/>
  <c r="F1127" i="24"/>
  <c r="E414" i="24"/>
  <c r="E506" i="24"/>
  <c r="E788" i="24"/>
  <c r="E125" i="24"/>
  <c r="F352" i="24"/>
  <c r="F1302" i="24"/>
  <c r="E1427" i="24"/>
  <c r="F1589" i="24"/>
  <c r="F196" i="24"/>
  <c r="F932" i="24"/>
  <c r="F553" i="24"/>
  <c r="F436" i="24"/>
  <c r="F1304" i="24"/>
  <c r="E1482" i="24"/>
  <c r="E412" i="24"/>
  <c r="E257" i="24"/>
  <c r="F356" i="24"/>
  <c r="E1045" i="24"/>
  <c r="E1084" i="24"/>
  <c r="F801" i="24"/>
  <c r="F1654" i="24"/>
  <c r="F1065" i="24"/>
  <c r="E858" i="24"/>
  <c r="F65" i="24"/>
  <c r="E424" i="24"/>
  <c r="E1254" i="24"/>
  <c r="E254" i="24"/>
  <c r="E159" i="24"/>
  <c r="E1401" i="24"/>
  <c r="E1132" i="24"/>
  <c r="F1069" i="24"/>
  <c r="F1050" i="24"/>
  <c r="E723" i="24"/>
  <c r="F452" i="24"/>
  <c r="E569" i="24"/>
  <c r="E544" i="24"/>
  <c r="F969" i="24"/>
  <c r="E180" i="24"/>
  <c r="F1546" i="24"/>
  <c r="F1375" i="24"/>
  <c r="E825" i="24"/>
  <c r="E1635" i="24"/>
  <c r="E1530" i="24"/>
  <c r="E562" i="24"/>
  <c r="F1068" i="24"/>
  <c r="E332" i="24"/>
  <c r="F1382" i="24"/>
  <c r="F1414" i="24"/>
  <c r="E1616" i="24"/>
  <c r="F392" i="24"/>
  <c r="F70" i="24"/>
  <c r="E953" i="24"/>
  <c r="F1291" i="24"/>
  <c r="E608" i="24"/>
  <c r="E973" i="24"/>
  <c r="E1566" i="24"/>
  <c r="E50" i="24"/>
  <c r="F1158" i="24"/>
  <c r="E91" i="24"/>
  <c r="E1415" i="24"/>
  <c r="E1004" i="24"/>
  <c r="E703" i="24"/>
  <c r="E1203" i="24"/>
  <c r="F737" i="24"/>
  <c r="E852" i="24"/>
  <c r="E434" i="24"/>
  <c r="E1617" i="24"/>
  <c r="E813" i="24"/>
  <c r="E640" i="24"/>
  <c r="E383" i="24"/>
  <c r="E127" i="24"/>
  <c r="F1452" i="24"/>
  <c r="E547" i="24"/>
  <c r="F888" i="24"/>
  <c r="E976" i="24"/>
  <c r="F800" i="24"/>
  <c r="E1399" i="17"/>
  <c r="M1398" i="7"/>
  <c r="M1392" i="7"/>
  <c r="E804" i="24"/>
  <c r="F108" i="24"/>
  <c r="F1244" i="24"/>
  <c r="E460" i="24"/>
  <c r="F1032" i="24"/>
  <c r="F275" i="24"/>
  <c r="E1498" i="24"/>
  <c r="E496" i="24"/>
  <c r="F1451" i="24"/>
  <c r="E362" i="24"/>
  <c r="F1136" i="24"/>
  <c r="E816" i="24"/>
  <c r="F1519" i="24"/>
  <c r="E1480" i="24"/>
  <c r="E1363" i="24"/>
  <c r="E1521" i="24"/>
  <c r="F748" i="24"/>
  <c r="E581" i="24"/>
  <c r="E28" i="24"/>
  <c r="E1474" i="24"/>
  <c r="F1520" i="24"/>
  <c r="F1023" i="24"/>
  <c r="F587" i="24"/>
  <c r="F1232" i="24"/>
  <c r="F1200" i="24"/>
  <c r="E563" i="24"/>
  <c r="E1586" i="24"/>
  <c r="F203" i="24"/>
  <c r="F1608" i="24"/>
  <c r="F842" i="24"/>
  <c r="F34" i="24"/>
  <c r="E267" i="24"/>
  <c r="F1369" i="24"/>
  <c r="E69" i="24"/>
  <c r="F1518" i="24"/>
  <c r="F426" i="24"/>
  <c r="E621" i="24"/>
  <c r="E380" i="24"/>
  <c r="E704" i="24"/>
  <c r="F660" i="24"/>
  <c r="E1568" i="24"/>
  <c r="F735" i="24"/>
  <c r="F1110" i="24"/>
  <c r="E1030" i="24"/>
  <c r="F364" i="24"/>
  <c r="E220" i="24"/>
  <c r="F1388" i="24"/>
  <c r="E1532" i="24"/>
  <c r="E304" i="24"/>
  <c r="F1219" i="24"/>
  <c r="F317" i="24"/>
  <c r="E1454" i="24"/>
  <c r="E501" i="24"/>
  <c r="F806" i="24"/>
  <c r="E302" i="24"/>
  <c r="F1473" i="24"/>
  <c r="F828" i="24"/>
  <c r="E754" i="24"/>
  <c r="E156" i="24"/>
  <c r="F924" i="24"/>
  <c r="F1484" i="24"/>
  <c r="F1403" i="24"/>
  <c r="F710" i="24"/>
  <c r="E550" i="24"/>
  <c r="F1001" i="24"/>
  <c r="E867" i="24"/>
  <c r="F1312" i="24"/>
  <c r="F164" i="24"/>
  <c r="E1468" i="24"/>
  <c r="F1362" i="24"/>
  <c r="F786" i="24"/>
  <c r="E743" i="24"/>
  <c r="F114" i="24"/>
  <c r="E466" i="24"/>
  <c r="F17" i="24"/>
  <c r="F839" i="24"/>
  <c r="E653" i="24"/>
  <c r="F189" i="24"/>
  <c r="F866" i="24"/>
  <c r="F1343" i="17"/>
  <c r="N1342" i="7"/>
  <c r="N1334" i="7"/>
  <c r="F605" i="24"/>
  <c r="F188" i="24"/>
  <c r="E880" i="24"/>
  <c r="F1477" i="24"/>
  <c r="E993" i="24"/>
  <c r="F549" i="24"/>
  <c r="F1204" i="24"/>
  <c r="F339" i="24"/>
  <c r="F502" i="24"/>
  <c r="E198" i="24"/>
  <c r="F997" i="24"/>
  <c r="E695" i="24"/>
  <c r="E990" i="24"/>
  <c r="F21" i="24"/>
  <c r="E1130" i="24"/>
  <c r="F113" i="24"/>
  <c r="E329" i="24"/>
  <c r="F1177" i="24"/>
  <c r="E1028" i="24"/>
  <c r="E1387" i="24"/>
  <c r="E975" i="24"/>
  <c r="E1116" i="24"/>
  <c r="F1173" i="24"/>
  <c r="F1278" i="17"/>
  <c r="N1277" i="7"/>
  <c r="N1267" i="7"/>
  <c r="F354" i="24"/>
  <c r="E681" i="24"/>
  <c r="E1179" i="24"/>
  <c r="F938" i="24"/>
  <c r="E175" i="24"/>
  <c r="F1443" i="24"/>
  <c r="E548" i="24"/>
  <c r="E197" i="24"/>
  <c r="E1166" i="24"/>
  <c r="E1243" i="24"/>
  <c r="E1332" i="24"/>
  <c r="F970" i="24"/>
  <c r="F1504" i="24"/>
  <c r="F1490" i="24"/>
  <c r="F505" i="24"/>
  <c r="F390" i="24"/>
  <c r="F1506" i="24"/>
  <c r="F1066" i="24"/>
  <c r="F1399" i="24"/>
  <c r="F1398" i="17"/>
  <c r="F1392" i="17"/>
  <c r="E851" i="24"/>
  <c r="E850" i="24"/>
  <c r="E843" i="24"/>
  <c r="E850" i="17"/>
  <c r="E843" i="17"/>
  <c r="F598" i="17"/>
  <c r="F588" i="17"/>
  <c r="F599" i="24"/>
  <c r="F1600" i="17"/>
  <c r="F1592" i="17"/>
  <c r="F1601" i="24"/>
  <c r="F1600" i="24"/>
  <c r="F1592" i="24"/>
  <c r="F245" i="17"/>
  <c r="F237" i="17"/>
  <c r="F246" i="24"/>
  <c r="F245" i="24"/>
  <c r="M1659" i="7"/>
  <c r="F151" i="24"/>
  <c r="F150" i="24"/>
  <c r="F150" i="17"/>
  <c r="F140" i="17"/>
  <c r="F375" i="17"/>
  <c r="F366" i="17"/>
  <c r="F376" i="24"/>
  <c r="F375" i="24"/>
  <c r="F732" i="17"/>
  <c r="F725" i="17"/>
  <c r="F733" i="24"/>
  <c r="F732" i="24"/>
  <c r="F725" i="24"/>
  <c r="E1012" i="17"/>
  <c r="E1005" i="17"/>
  <c r="E1013" i="24"/>
  <c r="E1012" i="24"/>
  <c r="E1005" i="24"/>
  <c r="E1398" i="17"/>
  <c r="E1392" i="17"/>
  <c r="E1399" i="24"/>
  <c r="E1278" i="24"/>
  <c r="E1277" i="24"/>
  <c r="E1277" i="17"/>
  <c r="E1267" i="17"/>
  <c r="E732" i="17"/>
  <c r="E725" i="17"/>
  <c r="E733" i="24"/>
  <c r="E732" i="24"/>
  <c r="F1278" i="24"/>
  <c r="F1277" i="24"/>
  <c r="F1277" i="17"/>
  <c r="F1267" i="17"/>
  <c r="F770" i="24"/>
  <c r="F769" i="24"/>
  <c r="F769" i="17"/>
  <c r="F759" i="17"/>
  <c r="F675" i="17"/>
  <c r="F668" i="17"/>
  <c r="F676" i="24"/>
  <c r="F675" i="24"/>
  <c r="E1153" i="17"/>
  <c r="E1145" i="17"/>
  <c r="E1154" i="24"/>
  <c r="E1153" i="24"/>
  <c r="F1212" i="24"/>
  <c r="F1211" i="24"/>
  <c r="F1211" i="17"/>
  <c r="F1205" i="17"/>
  <c r="E246" i="24"/>
  <c r="E245" i="24"/>
  <c r="E245" i="17"/>
  <c r="E237" i="17"/>
  <c r="E1342" i="17"/>
  <c r="E1334" i="17"/>
  <c r="E1343" i="24"/>
  <c r="E1342" i="24"/>
  <c r="F300" i="24"/>
  <c r="F299" i="17"/>
  <c r="F292" i="17"/>
  <c r="N1659" i="7"/>
  <c r="E1080" i="17"/>
  <c r="E1073" i="17"/>
  <c r="E1081" i="24"/>
  <c r="E448" i="17"/>
  <c r="E440" i="17"/>
  <c r="E449" i="24"/>
  <c r="E448" i="24"/>
  <c r="E150" i="17"/>
  <c r="E140" i="17"/>
  <c r="E151" i="24"/>
  <c r="E150" i="24"/>
  <c r="E598" i="17"/>
  <c r="E588" i="17"/>
  <c r="E599" i="24"/>
  <c r="E598" i="24"/>
  <c r="E14" i="17"/>
  <c r="E5" i="17"/>
  <c r="E15" i="24"/>
  <c r="E85" i="17"/>
  <c r="E78" i="17"/>
  <c r="E86" i="24"/>
  <c r="E85" i="24"/>
  <c r="E1467" i="24"/>
  <c r="E1466" i="17"/>
  <c r="E1459" i="17"/>
  <c r="F913" i="17"/>
  <c r="F903" i="17"/>
  <c r="F914" i="24"/>
  <c r="F913" i="24"/>
  <c r="F525" i="17"/>
  <c r="F516" i="17"/>
  <c r="F526" i="24"/>
  <c r="E376" i="24"/>
  <c r="E375" i="24"/>
  <c r="E375" i="17"/>
  <c r="E366" i="17"/>
  <c r="F1540" i="24"/>
  <c r="F1539" i="17"/>
  <c r="F1533" i="17"/>
  <c r="F1013" i="24"/>
  <c r="F1012" i="24"/>
  <c r="F1012" i="17"/>
  <c r="F1005" i="17"/>
  <c r="E1600" i="17"/>
  <c r="E1592" i="17"/>
  <c r="E1601" i="24"/>
  <c r="E1539" i="17"/>
  <c r="E1533" i="17"/>
  <c r="E1540" i="24"/>
  <c r="E1539" i="24"/>
  <c r="E913" i="17"/>
  <c r="E903" i="17"/>
  <c r="E914" i="24"/>
  <c r="E913" i="24"/>
  <c r="E300" i="24"/>
  <c r="E299" i="24"/>
  <c r="E292" i="24"/>
  <c r="E299" i="17"/>
  <c r="E292" i="17"/>
  <c r="F1342" i="17"/>
  <c r="F1334" i="17"/>
  <c r="F1343" i="24"/>
  <c r="F1467" i="24"/>
  <c r="F1466" i="24"/>
  <c r="F1466" i="17"/>
  <c r="F1459" i="17"/>
  <c r="F851" i="24"/>
  <c r="F850" i="17"/>
  <c r="F843" i="17"/>
  <c r="E525" i="17"/>
  <c r="E516" i="17"/>
  <c r="E526" i="24"/>
  <c r="E525" i="24"/>
  <c r="E769" i="17"/>
  <c r="E759" i="17"/>
  <c r="E770" i="24"/>
  <c r="E675" i="17"/>
  <c r="E668" i="17"/>
  <c r="E676" i="24"/>
  <c r="E675" i="24"/>
  <c r="F1153" i="17"/>
  <c r="F1145" i="17"/>
  <c r="F1154" i="24"/>
  <c r="F1153" i="24"/>
  <c r="F15" i="24"/>
  <c r="F14" i="24"/>
  <c r="F5" i="24"/>
  <c r="F14" i="17"/>
  <c r="F5" i="17"/>
  <c r="E1212" i="24"/>
  <c r="E1211" i="24"/>
  <c r="E1211" i="17"/>
  <c r="E1205" i="17"/>
  <c r="F85" i="17"/>
  <c r="F78" i="17"/>
  <c r="F86" i="24"/>
  <c r="F85" i="24"/>
  <c r="F78" i="24"/>
  <c r="F1080" i="17"/>
  <c r="F1073" i="17"/>
  <c r="F1081" i="24"/>
  <c r="F1080" i="24"/>
  <c r="F448" i="17"/>
  <c r="F440" i="17"/>
  <c r="F449" i="24"/>
  <c r="F448" i="24"/>
  <c r="E1659" i="17"/>
  <c r="E1663" i="17"/>
  <c r="M1663" i="7"/>
  <c r="E1667" i="17"/>
  <c r="E1668" i="17"/>
  <c r="F1668" i="17"/>
  <c r="F1667" i="17"/>
  <c r="N1663" i="7"/>
  <c r="F1659" i="17"/>
  <c r="F1663" i="17"/>
  <c r="E1669" i="17"/>
  <c r="F1669" i="17"/>
  <c r="E1267" i="24"/>
  <c r="E1533" i="24"/>
  <c r="E1334" i="24"/>
  <c r="F366" i="24"/>
  <c r="E78" i="24"/>
  <c r="E5" i="24"/>
  <c r="E516" i="24"/>
  <c r="F1392" i="24"/>
  <c r="F292" i="24"/>
  <c r="F1659" i="24"/>
  <c r="F1664" i="24"/>
  <c r="E1459" i="24"/>
  <c r="E1392" i="24"/>
  <c r="E588" i="24"/>
  <c r="F1533" i="24"/>
  <c r="F1145" i="24"/>
  <c r="F440" i="24"/>
  <c r="E440" i="24"/>
  <c r="F1459" i="24"/>
  <c r="E1592" i="24"/>
  <c r="F668" i="24"/>
  <c r="F1334" i="24"/>
  <c r="E1659" i="24"/>
  <c r="E1664" i="24"/>
</calcChain>
</file>

<file path=xl/sharedStrings.xml><?xml version="1.0" encoding="utf-8"?>
<sst xmlns="http://schemas.openxmlformats.org/spreadsheetml/2006/main" count="15334" uniqueCount="3165">
  <si>
    <t>№ п/п</t>
  </si>
  <si>
    <t>Найменування областей</t>
  </si>
  <si>
    <t>ВСЬОГО</t>
  </si>
  <si>
    <t>-</t>
  </si>
  <si>
    <t>r</t>
  </si>
  <si>
    <t>vr</t>
  </si>
  <si>
    <t>о</t>
  </si>
  <si>
    <t>v</t>
  </si>
  <si>
    <t>Зведений бюджет Вінницької області</t>
  </si>
  <si>
    <t>Зведений бюджет Волинської області</t>
  </si>
  <si>
    <t>Зведений бюджет Дніпропетровської області</t>
  </si>
  <si>
    <t>Зведений бюджет Донецької області</t>
  </si>
  <si>
    <t>Зведений бюджет Запорізької області</t>
  </si>
  <si>
    <t>Зведений бюджет Івано-Франківської області</t>
  </si>
  <si>
    <t>Зведений бюджет Київської області</t>
  </si>
  <si>
    <t>Зведений бюджет Кіровоградської області</t>
  </si>
  <si>
    <t>Зведений бюджет Луганської області</t>
  </si>
  <si>
    <t>Зведений бюджет Одеської області</t>
  </si>
  <si>
    <t>Зведений бюджет Полтавської області</t>
  </si>
  <si>
    <t>Зведений бюджет Рівненської області</t>
  </si>
  <si>
    <t>Зведений бюджет Сумської області</t>
  </si>
  <si>
    <t>Зведений бюджет Тернопільської області</t>
  </si>
  <si>
    <t>Зведений бюджет Харківської області</t>
  </si>
  <si>
    <t>Зведений бюджет Хмельницької області</t>
  </si>
  <si>
    <t>Зведений бюджет Черкаської області</t>
  </si>
  <si>
    <t>Зведений бюджет Чернівецької області</t>
  </si>
  <si>
    <t>Зведений бюджет Чернігівської області</t>
  </si>
  <si>
    <t xml:space="preserve">Реверсна та базова дотація </t>
  </si>
  <si>
    <t>vg</t>
  </si>
  <si>
    <t>02100000000</t>
  </si>
  <si>
    <t>02303200000</t>
  </si>
  <si>
    <t>02304200000</t>
  </si>
  <si>
    <t>02312200000</t>
  </si>
  <si>
    <t>02322200000</t>
  </si>
  <si>
    <t>02323200000</t>
  </si>
  <si>
    <t>03100000000</t>
  </si>
  <si>
    <t>03304200000</t>
  </si>
  <si>
    <t>03306200000</t>
  </si>
  <si>
    <t>03308200000</t>
  </si>
  <si>
    <t>03501000000</t>
  </si>
  <si>
    <t>03502000000</t>
  </si>
  <si>
    <t>03503000000</t>
  </si>
  <si>
    <t>03505000000</t>
  </si>
  <si>
    <t>04100000000</t>
  </si>
  <si>
    <t>04304200000</t>
  </si>
  <si>
    <t>04305200000</t>
  </si>
  <si>
    <t>04309200000</t>
  </si>
  <si>
    <t>04310200000</t>
  </si>
  <si>
    <t>04501000000</t>
  </si>
  <si>
    <t>04502000000</t>
  </si>
  <si>
    <t>04503000000</t>
  </si>
  <si>
    <t>04504000000</t>
  </si>
  <si>
    <t>04505000000</t>
  </si>
  <si>
    <t>04506000000</t>
  </si>
  <si>
    <t>04507000000</t>
  </si>
  <si>
    <t>04508000000</t>
  </si>
  <si>
    <t>04509000000</t>
  </si>
  <si>
    <t>04510000000</t>
  </si>
  <si>
    <t>04511000000</t>
  </si>
  <si>
    <t>04512000000</t>
  </si>
  <si>
    <t>04513000000</t>
  </si>
  <si>
    <t>04514000000</t>
  </si>
  <si>
    <t>04515000000</t>
  </si>
  <si>
    <t>05100000000</t>
  </si>
  <si>
    <t>05302200000</t>
  </si>
  <si>
    <t>05304200000</t>
  </si>
  <si>
    <t>05308200000</t>
  </si>
  <si>
    <t>05502000000</t>
  </si>
  <si>
    <t>05503000000</t>
  </si>
  <si>
    <t>06100000000</t>
  </si>
  <si>
    <t>06303200000</t>
  </si>
  <si>
    <t>06308200000</t>
  </si>
  <si>
    <t>06309200000</t>
  </si>
  <si>
    <t>06315200000</t>
  </si>
  <si>
    <t>06501000000</t>
  </si>
  <si>
    <t>06502000000</t>
  </si>
  <si>
    <t>06503000000</t>
  </si>
  <si>
    <t>06504000000</t>
  </si>
  <si>
    <t>06505000000</t>
  </si>
  <si>
    <t>07100000000</t>
  </si>
  <si>
    <t>07301200000</t>
  </si>
  <si>
    <t>07307200000</t>
  </si>
  <si>
    <t>07311200000</t>
  </si>
  <si>
    <t>07312200000</t>
  </si>
  <si>
    <t>07313200000</t>
  </si>
  <si>
    <t>08100000000</t>
  </si>
  <si>
    <t>08301200000</t>
  </si>
  <si>
    <t>08302200000</t>
  </si>
  <si>
    <t>08307200000</t>
  </si>
  <si>
    <t>08310200000</t>
  </si>
  <si>
    <t>08314200000</t>
  </si>
  <si>
    <t>08501000000</t>
  </si>
  <si>
    <t>08502000000</t>
  </si>
  <si>
    <t>08503000000</t>
  </si>
  <si>
    <t>08504000000</t>
  </si>
  <si>
    <t>08505000000</t>
  </si>
  <si>
    <t>09100000000</t>
  </si>
  <si>
    <t>09306200000</t>
  </si>
  <si>
    <t>09307200000</t>
  </si>
  <si>
    <t>09308200000</t>
  </si>
  <si>
    <t>09309200000</t>
  </si>
  <si>
    <t>09501000000</t>
  </si>
  <si>
    <t>09502000000</t>
  </si>
  <si>
    <t>09503000000</t>
  </si>
  <si>
    <t>10100000000</t>
  </si>
  <si>
    <t>10302200000</t>
  </si>
  <si>
    <t>10304200000</t>
  </si>
  <si>
    <t>10316200000</t>
  </si>
  <si>
    <t>10324200000</t>
  </si>
  <si>
    <t>10501000000</t>
  </si>
  <si>
    <t>11100000000</t>
  </si>
  <si>
    <t>11304200000</t>
  </si>
  <si>
    <t>11308200000</t>
  </si>
  <si>
    <t>11314200000</t>
  </si>
  <si>
    <t>11316200000</t>
  </si>
  <si>
    <t>11501000000</t>
  </si>
  <si>
    <t>12100000000</t>
  </si>
  <si>
    <t>12313200000</t>
  </si>
  <si>
    <t>12316200000</t>
  </si>
  <si>
    <t>13100000000</t>
  </si>
  <si>
    <t>13304200000</t>
  </si>
  <si>
    <t>13307200000</t>
  </si>
  <si>
    <t>13314200000</t>
  </si>
  <si>
    <t>13318200000</t>
  </si>
  <si>
    <t>13320200000</t>
  </si>
  <si>
    <t>13502000000</t>
  </si>
  <si>
    <t>13505000000</t>
  </si>
  <si>
    <t>13508000000</t>
  </si>
  <si>
    <t>14100000000</t>
  </si>
  <si>
    <t>14302200000</t>
  </si>
  <si>
    <t>14307200000</t>
  </si>
  <si>
    <t>14314200000</t>
  </si>
  <si>
    <t>14318200000</t>
  </si>
  <si>
    <t>15100000000</t>
  </si>
  <si>
    <t>15305200000</t>
  </si>
  <si>
    <t>15307200000</t>
  </si>
  <si>
    <t>15310200000</t>
  </si>
  <si>
    <t>15320200000</t>
  </si>
  <si>
    <t>15503000000</t>
  </si>
  <si>
    <t>15504000000</t>
  </si>
  <si>
    <t>15505000000</t>
  </si>
  <si>
    <t>15506000000</t>
  </si>
  <si>
    <t>15507000000</t>
  </si>
  <si>
    <t>15508000000</t>
  </si>
  <si>
    <t>16100000000</t>
  </si>
  <si>
    <t>16310200000</t>
  </si>
  <si>
    <t>16312200000</t>
  </si>
  <si>
    <t>16314200000</t>
  </si>
  <si>
    <t>16319200000</t>
  </si>
  <si>
    <t>16501000000</t>
  </si>
  <si>
    <t>16502000000</t>
  </si>
  <si>
    <t>16505000000</t>
  </si>
  <si>
    <t>16506000000</t>
  </si>
  <si>
    <t>16507000000</t>
  </si>
  <si>
    <t>16509000000</t>
  </si>
  <si>
    <t>16510000000</t>
  </si>
  <si>
    <t>16512000000</t>
  </si>
  <si>
    <t>17100000000</t>
  </si>
  <si>
    <t>17305200000</t>
  </si>
  <si>
    <t>17314200000</t>
  </si>
  <si>
    <t>17316200000</t>
  </si>
  <si>
    <t>17501000000</t>
  </si>
  <si>
    <t>17502000000</t>
  </si>
  <si>
    <t>17503000000</t>
  </si>
  <si>
    <t>17504000000</t>
  </si>
  <si>
    <t>17505000000</t>
  </si>
  <si>
    <t>18100000000</t>
  </si>
  <si>
    <t>18305200000</t>
  </si>
  <si>
    <t>18311200000</t>
  </si>
  <si>
    <t>18313200000</t>
  </si>
  <si>
    <t>18315200000</t>
  </si>
  <si>
    <t>18317200000</t>
  </si>
  <si>
    <t>18501000000</t>
  </si>
  <si>
    <t>19100000000</t>
  </si>
  <si>
    <t>19309200000</t>
  </si>
  <si>
    <t>19315200000</t>
  </si>
  <si>
    <t>19316200000</t>
  </si>
  <si>
    <t>20100000000</t>
  </si>
  <si>
    <t>20314200000</t>
  </si>
  <si>
    <t>20317200000</t>
  </si>
  <si>
    <t>20319200000</t>
  </si>
  <si>
    <t>20320200000</t>
  </si>
  <si>
    <t>20325200000</t>
  </si>
  <si>
    <t>20326200000</t>
  </si>
  <si>
    <t>21100000000</t>
  </si>
  <si>
    <t>21307200000</t>
  </si>
  <si>
    <t>21312200000</t>
  </si>
  <si>
    <t>21501000000</t>
  </si>
  <si>
    <t>22100000000</t>
  </si>
  <si>
    <t>22308200000</t>
  </si>
  <si>
    <t>22317200000</t>
  </si>
  <si>
    <t>22319200000</t>
  </si>
  <si>
    <t>22501000000</t>
  </si>
  <si>
    <t>22502000000</t>
  </si>
  <si>
    <t>22503000000</t>
  </si>
  <si>
    <t>22504000000</t>
  </si>
  <si>
    <t>22505000000</t>
  </si>
  <si>
    <t>22506000000</t>
  </si>
  <si>
    <t>22507000000</t>
  </si>
  <si>
    <t>22508000000</t>
  </si>
  <si>
    <t>22509000000</t>
  </si>
  <si>
    <t>22511000000</t>
  </si>
  <si>
    <t>22512000000</t>
  </si>
  <si>
    <t>22513000000</t>
  </si>
  <si>
    <t>22514000000</t>
  </si>
  <si>
    <t>22515000000</t>
  </si>
  <si>
    <t>23100000000</t>
  </si>
  <si>
    <t>23304200000</t>
  </si>
  <si>
    <t>23305200000</t>
  </si>
  <si>
    <t>23315200000</t>
  </si>
  <si>
    <t>23317200000</t>
  </si>
  <si>
    <t>23501000000</t>
  </si>
  <si>
    <t>23502000000</t>
  </si>
  <si>
    <t>23503000000</t>
  </si>
  <si>
    <t>24100000000</t>
  </si>
  <si>
    <t>24501000000</t>
  </si>
  <si>
    <t>24502000000</t>
  </si>
  <si>
    <t>25100000000</t>
  </si>
  <si>
    <t>25312200000</t>
  </si>
  <si>
    <t>25313200000</t>
  </si>
  <si>
    <t>25315200000</t>
  </si>
  <si>
    <t>25321200000</t>
  </si>
  <si>
    <t>25501000000</t>
  </si>
  <si>
    <t>26000000000</t>
  </si>
  <si>
    <t>02501000000</t>
  </si>
  <si>
    <t>02502000000</t>
  </si>
  <si>
    <t>06506000000</t>
  </si>
  <si>
    <t>06507000000</t>
  </si>
  <si>
    <t>06508000000</t>
  </si>
  <si>
    <t>06509000000</t>
  </si>
  <si>
    <t>07501000000</t>
  </si>
  <si>
    <t>07502000000</t>
  </si>
  <si>
    <t>08506000000</t>
  </si>
  <si>
    <t>11502000000</t>
  </si>
  <si>
    <t>12501000000</t>
  </si>
  <si>
    <t>12502000000</t>
  </si>
  <si>
    <t>13511000000</t>
  </si>
  <si>
    <t>13514000000</t>
  </si>
  <si>
    <t>14501000000</t>
  </si>
  <si>
    <t>19501000000</t>
  </si>
  <si>
    <t>19502000000</t>
  </si>
  <si>
    <t>19503000000</t>
  </si>
  <si>
    <t>19504000000</t>
  </si>
  <si>
    <t>19505000000</t>
  </si>
  <si>
    <t>19506000000</t>
  </si>
  <si>
    <t>19507000000</t>
  </si>
  <si>
    <t>19508000000</t>
  </si>
  <si>
    <t>19509000000</t>
  </si>
  <si>
    <t>19510000000</t>
  </si>
  <si>
    <t>19511000000</t>
  </si>
  <si>
    <t>19513000000</t>
  </si>
  <si>
    <t>19514000000</t>
  </si>
  <si>
    <t>19515000000</t>
  </si>
  <si>
    <t>19516000000</t>
  </si>
  <si>
    <t>19518000000</t>
  </si>
  <si>
    <t>19520000000</t>
  </si>
  <si>
    <t>19521000000</t>
  </si>
  <si>
    <t>19522000000</t>
  </si>
  <si>
    <t>19523000000</t>
  </si>
  <si>
    <t>19524000000</t>
  </si>
  <si>
    <t>19525000000</t>
  </si>
  <si>
    <t>19526000000</t>
  </si>
  <si>
    <t>22516000000</t>
  </si>
  <si>
    <t>22517000000</t>
  </si>
  <si>
    <t>22518000000</t>
  </si>
  <si>
    <t>22519000000</t>
  </si>
  <si>
    <t>22520000000</t>
  </si>
  <si>
    <t>22521000000</t>
  </si>
  <si>
    <t>22522000000</t>
  </si>
  <si>
    <t>24503000000</t>
  </si>
  <si>
    <t>24504000000</t>
  </si>
  <si>
    <t>24505000000</t>
  </si>
  <si>
    <t>24506000000</t>
  </si>
  <si>
    <t>24507000000</t>
  </si>
  <si>
    <t>24508000000</t>
  </si>
  <si>
    <t>24509000000</t>
  </si>
  <si>
    <t>24510000000</t>
  </si>
  <si>
    <t>25502000000</t>
  </si>
  <si>
    <t>25503000000</t>
  </si>
  <si>
    <t>25504000000</t>
  </si>
  <si>
    <t>25505000000</t>
  </si>
  <si>
    <t>03506000000</t>
  </si>
  <si>
    <t>04516000000</t>
  </si>
  <si>
    <t>06510000000</t>
  </si>
  <si>
    <t>10502000000</t>
  </si>
  <si>
    <t>11503000000</t>
  </si>
  <si>
    <t>13516000000</t>
  </si>
  <si>
    <t>16513000000</t>
  </si>
  <si>
    <t>17506000000</t>
  </si>
  <si>
    <t>17507000000</t>
  </si>
  <si>
    <t>17508000000</t>
  </si>
  <si>
    <t>20501000000</t>
  </si>
  <si>
    <t>03507000000</t>
  </si>
  <si>
    <t>09504000000</t>
  </si>
  <si>
    <t>17509000000</t>
  </si>
  <si>
    <t>17510000000</t>
  </si>
  <si>
    <t>Індекс податко-спроможності відповідного бюджету</t>
  </si>
  <si>
    <t>02503000000</t>
  </si>
  <si>
    <t>02504000000</t>
  </si>
  <si>
    <t>08507000000</t>
  </si>
  <si>
    <t>17511000000</t>
  </si>
  <si>
    <t>17512000000</t>
  </si>
  <si>
    <t>17514000000</t>
  </si>
  <si>
    <t>20502000000</t>
  </si>
  <si>
    <t>20503000000</t>
  </si>
  <si>
    <t>Базова дотація,
 тис. грн.</t>
  </si>
  <si>
    <t>02505000000</t>
  </si>
  <si>
    <t>02506000000</t>
  </si>
  <si>
    <t>02507000000</t>
  </si>
  <si>
    <t>02508000000</t>
  </si>
  <si>
    <t>02509000000</t>
  </si>
  <si>
    <t>02510000000</t>
  </si>
  <si>
    <t>02512000000</t>
  </si>
  <si>
    <t>02513000000</t>
  </si>
  <si>
    <t>02514000000</t>
  </si>
  <si>
    <t>02515000000</t>
  </si>
  <si>
    <t>02516000000</t>
  </si>
  <si>
    <t>02519000000</t>
  </si>
  <si>
    <t>02520000000</t>
  </si>
  <si>
    <t>03508000000</t>
  </si>
  <si>
    <t>03509000000</t>
  </si>
  <si>
    <t>03511000000</t>
  </si>
  <si>
    <t>03512000000</t>
  </si>
  <si>
    <t>03513000000</t>
  </si>
  <si>
    <t>03514000000</t>
  </si>
  <si>
    <t>03515000000</t>
  </si>
  <si>
    <t>04518000000</t>
  </si>
  <si>
    <t>04519000000</t>
  </si>
  <si>
    <t>04520000000</t>
  </si>
  <si>
    <t>04521000000</t>
  </si>
  <si>
    <t>04522000000</t>
  </si>
  <si>
    <t>04523000000</t>
  </si>
  <si>
    <t>04524000000</t>
  </si>
  <si>
    <t>04525000000</t>
  </si>
  <si>
    <t>04526000000</t>
  </si>
  <si>
    <t>04527000000</t>
  </si>
  <si>
    <t>04529000000</t>
  </si>
  <si>
    <t>04530000000</t>
  </si>
  <si>
    <t>04531000000</t>
  </si>
  <si>
    <t>04532000000</t>
  </si>
  <si>
    <t>04533000000</t>
  </si>
  <si>
    <t>06511000000</t>
  </si>
  <si>
    <t>06512000000</t>
  </si>
  <si>
    <t>06513000000</t>
  </si>
  <si>
    <t>06514000000</t>
  </si>
  <si>
    <t>06515000000</t>
  </si>
  <si>
    <t>06516000000</t>
  </si>
  <si>
    <t>06517000000</t>
  </si>
  <si>
    <t>06518000000</t>
  </si>
  <si>
    <t>06519000000</t>
  </si>
  <si>
    <t>06520000000</t>
  </si>
  <si>
    <t>06521000000</t>
  </si>
  <si>
    <t>06522000000</t>
  </si>
  <si>
    <t>06523000000</t>
  </si>
  <si>
    <t>06524000000</t>
  </si>
  <si>
    <t>06526000000</t>
  </si>
  <si>
    <t>06527000000</t>
  </si>
  <si>
    <t>06528000000</t>
  </si>
  <si>
    <t>06529000000</t>
  </si>
  <si>
    <t>06530000000</t>
  </si>
  <si>
    <t>06531000000</t>
  </si>
  <si>
    <t>06532000000</t>
  </si>
  <si>
    <t>07503000000</t>
  </si>
  <si>
    <t>08508000000</t>
  </si>
  <si>
    <t>08509000000</t>
  </si>
  <si>
    <t>08510000000</t>
  </si>
  <si>
    <t>08513000000</t>
  </si>
  <si>
    <t>08514000000</t>
  </si>
  <si>
    <t>08516000000</t>
  </si>
  <si>
    <t>09505000000</t>
  </si>
  <si>
    <t>09506000000</t>
  </si>
  <si>
    <t>09507000000</t>
  </si>
  <si>
    <t>09508000000</t>
  </si>
  <si>
    <t>09509000000</t>
  </si>
  <si>
    <t>09510000000</t>
  </si>
  <si>
    <t>09511000000</t>
  </si>
  <si>
    <t>11504000000</t>
  </si>
  <si>
    <t>11505000000</t>
  </si>
  <si>
    <t>12503000000</t>
  </si>
  <si>
    <t>13517000000</t>
  </si>
  <si>
    <t>13518000000</t>
  </si>
  <si>
    <t>13520000000</t>
  </si>
  <si>
    <t>13521000000</t>
  </si>
  <si>
    <t>13522000000</t>
  </si>
  <si>
    <t>14502000000</t>
  </si>
  <si>
    <t>14503000000</t>
  </si>
  <si>
    <t>14504000000</t>
  </si>
  <si>
    <t>14505000000</t>
  </si>
  <si>
    <t>14506000000</t>
  </si>
  <si>
    <t>14507000000</t>
  </si>
  <si>
    <t>14508000000</t>
  </si>
  <si>
    <t>14509000000</t>
  </si>
  <si>
    <t>14510000000</t>
  </si>
  <si>
    <t>14511000000</t>
  </si>
  <si>
    <t>14512000000</t>
  </si>
  <si>
    <t>14513000000</t>
  </si>
  <si>
    <t>14515000000</t>
  </si>
  <si>
    <t>14516000000</t>
  </si>
  <si>
    <t>14517000000</t>
  </si>
  <si>
    <t>14518000000</t>
  </si>
  <si>
    <t>14519000000</t>
  </si>
  <si>
    <t>15509000000</t>
  </si>
  <si>
    <t>15510000000</t>
  </si>
  <si>
    <t>15511000000</t>
  </si>
  <si>
    <t>16515000000</t>
  </si>
  <si>
    <t>16516000000</t>
  </si>
  <si>
    <t>16518000000</t>
  </si>
  <si>
    <t>17515000000</t>
  </si>
  <si>
    <t>17516000000</t>
  </si>
  <si>
    <t>17517000000</t>
  </si>
  <si>
    <t>17518000000</t>
  </si>
  <si>
    <t>18502000000</t>
  </si>
  <si>
    <t>18503000000</t>
  </si>
  <si>
    <t>18504000000</t>
  </si>
  <si>
    <t>18505000000</t>
  </si>
  <si>
    <t>18506000000</t>
  </si>
  <si>
    <t>18507000000</t>
  </si>
  <si>
    <t>18508000000</t>
  </si>
  <si>
    <t>18509000000</t>
  </si>
  <si>
    <t>18510000000</t>
  </si>
  <si>
    <t>18511000000</t>
  </si>
  <si>
    <t>18512000000</t>
  </si>
  <si>
    <t>18513000000</t>
  </si>
  <si>
    <t>18514000000</t>
  </si>
  <si>
    <t>19527000000</t>
  </si>
  <si>
    <t>19528000000</t>
  </si>
  <si>
    <t>19529000000</t>
  </si>
  <si>
    <t>19530000000</t>
  </si>
  <si>
    <t>19531000000</t>
  </si>
  <si>
    <t>19532000000</t>
  </si>
  <si>
    <t>19533000000</t>
  </si>
  <si>
    <t>19535000000</t>
  </si>
  <si>
    <t>20504000000</t>
  </si>
  <si>
    <t>21502000000</t>
  </si>
  <si>
    <t>21503000000</t>
  </si>
  <si>
    <t>21504000000</t>
  </si>
  <si>
    <t>21505000000</t>
  </si>
  <si>
    <t>21506000000</t>
  </si>
  <si>
    <t>21507000000</t>
  </si>
  <si>
    <t>21509000000</t>
  </si>
  <si>
    <t>21510000000</t>
  </si>
  <si>
    <t>21511000000</t>
  </si>
  <si>
    <t>21512000000</t>
  </si>
  <si>
    <t>22523000000</t>
  </si>
  <si>
    <t>22524000000</t>
  </si>
  <si>
    <t>22525000000</t>
  </si>
  <si>
    <t>22526000000</t>
  </si>
  <si>
    <t>23504000000</t>
  </si>
  <si>
    <t>23505000000</t>
  </si>
  <si>
    <t>23506000000</t>
  </si>
  <si>
    <t>24511000000</t>
  </si>
  <si>
    <t>24512000000</t>
  </si>
  <si>
    <t>24513000000</t>
  </si>
  <si>
    <t>24514000000</t>
  </si>
  <si>
    <t>24515000000</t>
  </si>
  <si>
    <t>24516000000</t>
  </si>
  <si>
    <t>25506000000</t>
  </si>
  <si>
    <t>25507000000</t>
  </si>
  <si>
    <t>25508000000</t>
  </si>
  <si>
    <t>25509000000</t>
  </si>
  <si>
    <t>25510000000</t>
  </si>
  <si>
    <t>25511000000</t>
  </si>
  <si>
    <t>25512000000</t>
  </si>
  <si>
    <t>25513000000</t>
  </si>
  <si>
    <t>25514000000</t>
  </si>
  <si>
    <t>25515000000</t>
  </si>
  <si>
    <t>25516000000</t>
  </si>
  <si>
    <t>02522000000</t>
  </si>
  <si>
    <t>02523000000</t>
  </si>
  <si>
    <t>02524000000</t>
  </si>
  <si>
    <t>03516000000</t>
  </si>
  <si>
    <t>03518000000</t>
  </si>
  <si>
    <t>03519000000</t>
  </si>
  <si>
    <t>03520000000</t>
  </si>
  <si>
    <t>07504000000</t>
  </si>
  <si>
    <t>07505000000</t>
  </si>
  <si>
    <t>08517000000</t>
  </si>
  <si>
    <t>08518000000</t>
  </si>
  <si>
    <t>08519000000</t>
  </si>
  <si>
    <t>08520000000</t>
  </si>
  <si>
    <t>08521000000</t>
  </si>
  <si>
    <t>08522000000</t>
  </si>
  <si>
    <t>08523000000</t>
  </si>
  <si>
    <t>08524000000</t>
  </si>
  <si>
    <t>09512000000</t>
  </si>
  <si>
    <t>11506000000</t>
  </si>
  <si>
    <t>11507000000</t>
  </si>
  <si>
    <t>12504000000</t>
  </si>
  <si>
    <t>13523000000</t>
  </si>
  <si>
    <t>13525000000</t>
  </si>
  <si>
    <t>14520000000</t>
  </si>
  <si>
    <t>15512000000</t>
  </si>
  <si>
    <t>16519000000</t>
  </si>
  <si>
    <t>17519000000</t>
  </si>
  <si>
    <t>18515000000</t>
  </si>
  <si>
    <t>18516000000</t>
  </si>
  <si>
    <t>18517000000</t>
  </si>
  <si>
    <t>18518000000</t>
  </si>
  <si>
    <t>20505000000</t>
  </si>
  <si>
    <t>21513000000</t>
  </si>
  <si>
    <t>21514000000</t>
  </si>
  <si>
    <t>23507000000</t>
  </si>
  <si>
    <t>23508000000</t>
  </si>
  <si>
    <t>23509000000</t>
  </si>
  <si>
    <t>23510000000</t>
  </si>
  <si>
    <t>24517000000</t>
  </si>
  <si>
    <t>24518000000</t>
  </si>
  <si>
    <t>25517000000</t>
  </si>
  <si>
    <t>25518000000</t>
  </si>
  <si>
    <t>25519000000</t>
  </si>
  <si>
    <t>02526000000</t>
  </si>
  <si>
    <t>02527000000</t>
  </si>
  <si>
    <t>02529000000</t>
  </si>
  <si>
    <t>02530000000</t>
  </si>
  <si>
    <t>02531000000</t>
  </si>
  <si>
    <t>02533000000</t>
  </si>
  <si>
    <t>03522000000</t>
  </si>
  <si>
    <t>03524000000</t>
  </si>
  <si>
    <t>03525000000</t>
  </si>
  <si>
    <t>03526000000</t>
  </si>
  <si>
    <t>03527000000</t>
  </si>
  <si>
    <t>03528000000</t>
  </si>
  <si>
    <t>03529000000</t>
  </si>
  <si>
    <t>03530000000</t>
  </si>
  <si>
    <t>03531000000</t>
  </si>
  <si>
    <t>03532000000</t>
  </si>
  <si>
    <t>03533000000</t>
  </si>
  <si>
    <t>03534000000</t>
  </si>
  <si>
    <t>03535000000</t>
  </si>
  <si>
    <t>03536000000</t>
  </si>
  <si>
    <t>03537000000</t>
  </si>
  <si>
    <t>03538000000</t>
  </si>
  <si>
    <t>03539000000</t>
  </si>
  <si>
    <t>04536000000</t>
  </si>
  <si>
    <t>04537000000</t>
  </si>
  <si>
    <t>04539000000</t>
  </si>
  <si>
    <t>04540000000</t>
  </si>
  <si>
    <t>04542000000</t>
  </si>
  <si>
    <t>04543000000</t>
  </si>
  <si>
    <t>04544000000</t>
  </si>
  <si>
    <t>04545000000</t>
  </si>
  <si>
    <t>04546000000</t>
  </si>
  <si>
    <t>04547000000</t>
  </si>
  <si>
    <t>04548000000</t>
  </si>
  <si>
    <t>04549000000</t>
  </si>
  <si>
    <t>04550000000</t>
  </si>
  <si>
    <t>04551000000</t>
  </si>
  <si>
    <t>04552000000</t>
  </si>
  <si>
    <t>04553000000</t>
  </si>
  <si>
    <t>06533000000</t>
  </si>
  <si>
    <t>07506000000</t>
  </si>
  <si>
    <t>08526000000</t>
  </si>
  <si>
    <t>08527000000</t>
  </si>
  <si>
    <t>08528000000</t>
  </si>
  <si>
    <t>08529000000</t>
  </si>
  <si>
    <t>08530000000</t>
  </si>
  <si>
    <t>08531000000</t>
  </si>
  <si>
    <t>08532000000</t>
  </si>
  <si>
    <t>08533000000</t>
  </si>
  <si>
    <t>08534000000</t>
  </si>
  <si>
    <t>09513000000</t>
  </si>
  <si>
    <t>09514000000</t>
  </si>
  <si>
    <t>09515000000</t>
  </si>
  <si>
    <t>09516000000</t>
  </si>
  <si>
    <t>09517000000</t>
  </si>
  <si>
    <t>09518000000</t>
  </si>
  <si>
    <t>09519000000</t>
  </si>
  <si>
    <t>09520000000</t>
  </si>
  <si>
    <t>10503000000</t>
  </si>
  <si>
    <t>10504000000</t>
  </si>
  <si>
    <t>10505000000</t>
  </si>
  <si>
    <t>10506000000</t>
  </si>
  <si>
    <t>11508000000</t>
  </si>
  <si>
    <t>11509000000</t>
  </si>
  <si>
    <t>11510000000</t>
  </si>
  <si>
    <t>11511000000</t>
  </si>
  <si>
    <t>11512000000</t>
  </si>
  <si>
    <t>11513000000</t>
  </si>
  <si>
    <t>12505000000</t>
  </si>
  <si>
    <t>12506000000</t>
  </si>
  <si>
    <t>12508000000</t>
  </si>
  <si>
    <t>13527000000</t>
  </si>
  <si>
    <t>13528000000</t>
  </si>
  <si>
    <t>13529000000</t>
  </si>
  <si>
    <t>13530000000</t>
  </si>
  <si>
    <t>13531000000</t>
  </si>
  <si>
    <t>13532000000</t>
  </si>
  <si>
    <t>15513000000</t>
  </si>
  <si>
    <t>15514000000</t>
  </si>
  <si>
    <t>15515000000</t>
  </si>
  <si>
    <t>15516000000</t>
  </si>
  <si>
    <t>15517000000</t>
  </si>
  <si>
    <t>15518000000</t>
  </si>
  <si>
    <t>15519000000</t>
  </si>
  <si>
    <t>15520000000</t>
  </si>
  <si>
    <t>15521000000</t>
  </si>
  <si>
    <t>15522000000</t>
  </si>
  <si>
    <t>15523000000</t>
  </si>
  <si>
    <t>16521000000</t>
  </si>
  <si>
    <t>16522000000</t>
  </si>
  <si>
    <t>16524000000</t>
  </si>
  <si>
    <t>16525000000</t>
  </si>
  <si>
    <t>16526000000</t>
  </si>
  <si>
    <t>16528000000</t>
  </si>
  <si>
    <t>16530000000</t>
  </si>
  <si>
    <t>16531000000</t>
  </si>
  <si>
    <t>16532000000</t>
  </si>
  <si>
    <t>17520000000</t>
  </si>
  <si>
    <t>17521000000</t>
  </si>
  <si>
    <t>17522000000</t>
  </si>
  <si>
    <t>17523000000</t>
  </si>
  <si>
    <t>17524000000</t>
  </si>
  <si>
    <t>18519000000</t>
  </si>
  <si>
    <t>18520000000</t>
  </si>
  <si>
    <t>18521000000</t>
  </si>
  <si>
    <t>18522000000</t>
  </si>
  <si>
    <t>18523000000</t>
  </si>
  <si>
    <t>18524000000</t>
  </si>
  <si>
    <t>18525000000</t>
  </si>
  <si>
    <t>18526000000</t>
  </si>
  <si>
    <t>18527000000</t>
  </si>
  <si>
    <t>19537000000</t>
  </si>
  <si>
    <t>19538000000</t>
  </si>
  <si>
    <t>19539000000</t>
  </si>
  <si>
    <t>19540000000</t>
  </si>
  <si>
    <t>20506000000</t>
  </si>
  <si>
    <t>20507000000</t>
  </si>
  <si>
    <t>20508000000</t>
  </si>
  <si>
    <t>20509000000</t>
  </si>
  <si>
    <t>20510000000</t>
  </si>
  <si>
    <t>20511000000</t>
  </si>
  <si>
    <t>20512000000</t>
  </si>
  <si>
    <t>21515000000</t>
  </si>
  <si>
    <t>21516000000</t>
  </si>
  <si>
    <t>21517000000</t>
  </si>
  <si>
    <t>21518000000</t>
  </si>
  <si>
    <t>21519000000</t>
  </si>
  <si>
    <t>21520000000</t>
  </si>
  <si>
    <t>21521000000</t>
  </si>
  <si>
    <t>21522000000</t>
  </si>
  <si>
    <t>21523000000</t>
  </si>
  <si>
    <t>21524000000</t>
  </si>
  <si>
    <t>22527000000</t>
  </si>
  <si>
    <t>22528000000</t>
  </si>
  <si>
    <t>22529000000</t>
  </si>
  <si>
    <t>22530000000</t>
  </si>
  <si>
    <t>22532000000</t>
  </si>
  <si>
    <t>22533000000</t>
  </si>
  <si>
    <t>23511000000</t>
  </si>
  <si>
    <t>23514000000</t>
  </si>
  <si>
    <t>23515000000</t>
  </si>
  <si>
    <t>23516000000</t>
  </si>
  <si>
    <t>23519000000</t>
  </si>
  <si>
    <t>23520000000</t>
  </si>
  <si>
    <t>23521000000</t>
  </si>
  <si>
    <t>23522000000</t>
  </si>
  <si>
    <t>23523000000</t>
  </si>
  <si>
    <t>23524000000</t>
  </si>
  <si>
    <t>24519000000</t>
  </si>
  <si>
    <t>24520000000</t>
  </si>
  <si>
    <t>24521000000</t>
  </si>
  <si>
    <t>24522000000</t>
  </si>
  <si>
    <t>25520000000</t>
  </si>
  <si>
    <t>25521000000</t>
  </si>
  <si>
    <t>25522000000</t>
  </si>
  <si>
    <t>25523000000</t>
  </si>
  <si>
    <t>25524000000</t>
  </si>
  <si>
    <t>25525000000</t>
  </si>
  <si>
    <t>25526000000</t>
  </si>
  <si>
    <t>25527000000</t>
  </si>
  <si>
    <t>25528000000</t>
  </si>
  <si>
    <t>25529000000</t>
  </si>
  <si>
    <t>25530000000</t>
  </si>
  <si>
    <t>25531000000</t>
  </si>
  <si>
    <t>25532000000</t>
  </si>
  <si>
    <t>25533000000</t>
  </si>
  <si>
    <t>03540000000</t>
  </si>
  <si>
    <t>04554000000</t>
  </si>
  <si>
    <t>04555000000</t>
  </si>
  <si>
    <t>04556000000</t>
  </si>
  <si>
    <t>06534000000</t>
  </si>
  <si>
    <t>06535000000</t>
  </si>
  <si>
    <t>06536000000</t>
  </si>
  <si>
    <t>06537000000</t>
  </si>
  <si>
    <t>06538000000</t>
  </si>
  <si>
    <t>06539000000</t>
  </si>
  <si>
    <t>06542000000</t>
  </si>
  <si>
    <t>06543000000</t>
  </si>
  <si>
    <t>06544000000</t>
  </si>
  <si>
    <t>06545000000</t>
  </si>
  <si>
    <t>08535000000</t>
  </si>
  <si>
    <t>09521000000</t>
  </si>
  <si>
    <t>09522000000</t>
  </si>
  <si>
    <t>09523000000</t>
  </si>
  <si>
    <t>10507000000</t>
  </si>
  <si>
    <t>10508000000</t>
  </si>
  <si>
    <t>10509000000</t>
  </si>
  <si>
    <t>13534000000</t>
  </si>
  <si>
    <t>13535000000</t>
  </si>
  <si>
    <t>14522000000</t>
  </si>
  <si>
    <t>14523000000</t>
  </si>
  <si>
    <t>14524000000</t>
  </si>
  <si>
    <t>14525000000</t>
  </si>
  <si>
    <t>14526000000</t>
  </si>
  <si>
    <t>14527000000</t>
  </si>
  <si>
    <t>14528000000</t>
  </si>
  <si>
    <t>15524000000</t>
  </si>
  <si>
    <t>15525000000</t>
  </si>
  <si>
    <t>16533000000</t>
  </si>
  <si>
    <t>16534000000</t>
  </si>
  <si>
    <t>16535000000</t>
  </si>
  <si>
    <t>16536000000</t>
  </si>
  <si>
    <t>16537000000</t>
  </si>
  <si>
    <t>16539000000</t>
  </si>
  <si>
    <t>17525000000</t>
  </si>
  <si>
    <t>18528000000</t>
  </si>
  <si>
    <t>21525000000</t>
  </si>
  <si>
    <t>22534000000</t>
  </si>
  <si>
    <t>22535000000</t>
  </si>
  <si>
    <t>22536000000</t>
  </si>
  <si>
    <t>22537000000</t>
  </si>
  <si>
    <t>22538000000</t>
  </si>
  <si>
    <t>23525000000</t>
  </si>
  <si>
    <t>23526000000</t>
  </si>
  <si>
    <t>24523000000</t>
  </si>
  <si>
    <t>24524000000</t>
  </si>
  <si>
    <t>24525000000</t>
  </si>
  <si>
    <t>24526000000</t>
  </si>
  <si>
    <t>25534000000</t>
  </si>
  <si>
    <t>25535000000</t>
  </si>
  <si>
    <t>25536000000</t>
  </si>
  <si>
    <t>25537000000</t>
  </si>
  <si>
    <t>Код бюджету</t>
  </si>
  <si>
    <t>04557000000</t>
  </si>
  <si>
    <t>04558000000</t>
  </si>
  <si>
    <t>05510000000</t>
  </si>
  <si>
    <t>08537000000</t>
  </si>
  <si>
    <t>08538000000</t>
  </si>
  <si>
    <t>03541000000</t>
  </si>
  <si>
    <t>11514000000</t>
  </si>
  <si>
    <t>11515000000</t>
  </si>
  <si>
    <t>Надходження ПДФО  грн./на 1 жителя</t>
  </si>
  <si>
    <t>05504000000</t>
  </si>
  <si>
    <t>05505000000</t>
  </si>
  <si>
    <t>05506000000</t>
  </si>
  <si>
    <t>05507000000</t>
  </si>
  <si>
    <t>05508000000</t>
  </si>
  <si>
    <t>05509000000</t>
  </si>
  <si>
    <t>02</t>
  </si>
  <si>
    <t>02000000000</t>
  </si>
  <si>
    <t>02300000000</t>
  </si>
  <si>
    <t>02500000000</t>
  </si>
  <si>
    <t>03</t>
  </si>
  <si>
    <t>03000000000</t>
  </si>
  <si>
    <t>03300000000</t>
  </si>
  <si>
    <t>03500000000</t>
  </si>
  <si>
    <t>04</t>
  </si>
  <si>
    <t>04000000000</t>
  </si>
  <si>
    <t>04300000000</t>
  </si>
  <si>
    <t>04500000000</t>
  </si>
  <si>
    <t>04559000000</t>
  </si>
  <si>
    <t>05</t>
  </si>
  <si>
    <t>05000000000</t>
  </si>
  <si>
    <t>05300000000</t>
  </si>
  <si>
    <t>05500000000</t>
  </si>
  <si>
    <t>06</t>
  </si>
  <si>
    <t>06000000000</t>
  </si>
  <si>
    <t>06300000000</t>
  </si>
  <si>
    <t>06500000000</t>
  </si>
  <si>
    <t>07</t>
  </si>
  <si>
    <t>07000000000</t>
  </si>
  <si>
    <t>07300000000</t>
  </si>
  <si>
    <t>07500000000</t>
  </si>
  <si>
    <t>08</t>
  </si>
  <si>
    <t>08000000000</t>
  </si>
  <si>
    <t>08300000000</t>
  </si>
  <si>
    <t>08500000000</t>
  </si>
  <si>
    <t>09</t>
  </si>
  <si>
    <t>09000000000</t>
  </si>
  <si>
    <t>09300000000</t>
  </si>
  <si>
    <t>09500000000</t>
  </si>
  <si>
    <t>10000000000</t>
  </si>
  <si>
    <t>10300000000</t>
  </si>
  <si>
    <t>10500000000</t>
  </si>
  <si>
    <t>11000000000</t>
  </si>
  <si>
    <t>11300000000</t>
  </si>
  <si>
    <t>11500000000</t>
  </si>
  <si>
    <t>12000000000</t>
  </si>
  <si>
    <t>12300000000</t>
  </si>
  <si>
    <t>12500000000</t>
  </si>
  <si>
    <t>13000000000</t>
  </si>
  <si>
    <t>13300000000</t>
  </si>
  <si>
    <t>13500000000</t>
  </si>
  <si>
    <t>14000000000</t>
  </si>
  <si>
    <t>14300000000</t>
  </si>
  <si>
    <t>14500000000</t>
  </si>
  <si>
    <t>15000000000</t>
  </si>
  <si>
    <t>15300000000</t>
  </si>
  <si>
    <t>15500000000</t>
  </si>
  <si>
    <t>16000000000</t>
  </si>
  <si>
    <t>16300000000</t>
  </si>
  <si>
    <t>16500000000</t>
  </si>
  <si>
    <t>17000000000</t>
  </si>
  <si>
    <t>17300000000</t>
  </si>
  <si>
    <t>17500000000</t>
  </si>
  <si>
    <t>18000000000</t>
  </si>
  <si>
    <t>18300000000</t>
  </si>
  <si>
    <t>18500000000</t>
  </si>
  <si>
    <t>19000000000</t>
  </si>
  <si>
    <t>19300000000</t>
  </si>
  <si>
    <t>19500000000</t>
  </si>
  <si>
    <t>20000000000</t>
  </si>
  <si>
    <t>20300000000</t>
  </si>
  <si>
    <t>20500000000</t>
  </si>
  <si>
    <t>21000000000</t>
  </si>
  <si>
    <t>21300000000</t>
  </si>
  <si>
    <t>21500000000</t>
  </si>
  <si>
    <t>22000000000</t>
  </si>
  <si>
    <t>22300000000</t>
  </si>
  <si>
    <t>22500000000</t>
  </si>
  <si>
    <t>23000000000</t>
  </si>
  <si>
    <t>23300000000</t>
  </si>
  <si>
    <t>23500000000</t>
  </si>
  <si>
    <t>24000000000</t>
  </si>
  <si>
    <t>24300000000</t>
  </si>
  <si>
    <t>24500000000</t>
  </si>
  <si>
    <t>25000000000</t>
  </si>
  <si>
    <t>25300000000</t>
  </si>
  <si>
    <t>25500000000</t>
  </si>
  <si>
    <t>02535000000</t>
  </si>
  <si>
    <t>04560000000</t>
  </si>
  <si>
    <t>08539000000</t>
  </si>
  <si>
    <t>08541000000</t>
  </si>
  <si>
    <t>08542000000</t>
  </si>
  <si>
    <t>09524000000</t>
  </si>
  <si>
    <t>09525000000</t>
  </si>
  <si>
    <t>11516000000</t>
  </si>
  <si>
    <t>Обласний бюджет Вінницької області</t>
  </si>
  <si>
    <t>Обласний бюджет Волинської області</t>
  </si>
  <si>
    <t>Обласний бюджет Дніпропетровської області</t>
  </si>
  <si>
    <t>Обласний бюджет Донецької області</t>
  </si>
  <si>
    <t>Зведений бюджет Житомирської області</t>
  </si>
  <si>
    <t>Обласний бюджет Житомирської області</t>
  </si>
  <si>
    <t>Зведений бюджет Закарпатської області</t>
  </si>
  <si>
    <t>Обласний бюджет Закарпатської області</t>
  </si>
  <si>
    <t>Обласний бюджет Запорізької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</si>
  <si>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</si>
  <si>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</si>
  <si>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</si>
  <si>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</si>
  <si>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Зведений бюджет Львівської області</t>
  </si>
  <si>
    <t>Обласний бюджет Львівської області</t>
  </si>
  <si>
    <t>Обласний бюджет Миколаївської області</t>
  </si>
  <si>
    <t>Обласний бюджет Одеської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</si>
  <si>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</si>
  <si>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</si>
  <si>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</si>
  <si>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</si>
  <si>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</si>
  <si>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Зведений бюджет Херсонської областi</t>
  </si>
  <si>
    <t>Обласний бюджет Херсонської областi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</si>
  <si>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</si>
  <si>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</si>
  <si>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</si>
  <si>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</si>
  <si>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03545000000</t>
  </si>
  <si>
    <t>03549000000</t>
  </si>
  <si>
    <t>06546000000</t>
  </si>
  <si>
    <t>06547000000</t>
  </si>
  <si>
    <t>06548000000</t>
  </si>
  <si>
    <t>06549000000</t>
  </si>
  <si>
    <t>06550000000</t>
  </si>
  <si>
    <t>06551000000</t>
  </si>
  <si>
    <t>09526000000</t>
  </si>
  <si>
    <t>09527000000</t>
  </si>
  <si>
    <t>09528000000</t>
  </si>
  <si>
    <t>09529000000</t>
  </si>
  <si>
    <t>11517000000</t>
  </si>
  <si>
    <t>11518000000</t>
  </si>
  <si>
    <t>11519000000</t>
  </si>
  <si>
    <t>11520000000</t>
  </si>
  <si>
    <t>Бюджет міста Києва</t>
  </si>
  <si>
    <t>Районний бюджет Вінницького району</t>
  </si>
  <si>
    <t>Районний бюджет Гайсинського району</t>
  </si>
  <si>
    <t>Районний бюджет Могилів-Подільського району</t>
  </si>
  <si>
    <t>Районний бюджет Тульчинського району</t>
  </si>
  <si>
    <t>Районний бюджет Хмільницького району</t>
  </si>
  <si>
    <t>Районний бюджет Чернівецького району</t>
  </si>
  <si>
    <t>Районний бюджет Камінь-Каширського району</t>
  </si>
  <si>
    <t>Районний бюджет Ковельського району</t>
  </si>
  <si>
    <t>Районний бюджет Луцького району</t>
  </si>
  <si>
    <t>Районний бюджет Дніпровського району</t>
  </si>
  <si>
    <t>Районний бюджет Криворізького району</t>
  </si>
  <si>
    <t>Районний бюджет Нікопольського району</t>
  </si>
  <si>
    <t>Районний бюджет Новомосковського району</t>
  </si>
  <si>
    <t>Районний бюджет Покровського району</t>
  </si>
  <si>
    <t>Районний бюджет Волноваського району</t>
  </si>
  <si>
    <t>Районний бюджет Житомирського району</t>
  </si>
  <si>
    <t>Районний бюджет Коростенського району</t>
  </si>
  <si>
    <t>Районний бюджет Новоград-Волинського району</t>
  </si>
  <si>
    <t>Районний бюджет Берегівського району</t>
  </si>
  <si>
    <t>Районний бюджет Мукачівського району</t>
  </si>
  <si>
    <t>Районний бюджет Тячівського району</t>
  </si>
  <si>
    <t>Районний бюджет Ужгородського району</t>
  </si>
  <si>
    <t>Районний бюджет Хустського району</t>
  </si>
  <si>
    <t>Районний бюджет Бердянського району</t>
  </si>
  <si>
    <t>Районний бюджет Василівського району</t>
  </si>
  <si>
    <t>Районний бюджет Запорізького району</t>
  </si>
  <si>
    <t>Районний бюджет Мелітопольського району</t>
  </si>
  <si>
    <t>Районний бюджет Пологівського району</t>
  </si>
  <si>
    <t>Районний бюджет Чернігівського району</t>
  </si>
  <si>
    <t>Районний бюджет Калуського району</t>
  </si>
  <si>
    <t>Районний бюджет Коломийського району</t>
  </si>
  <si>
    <t>Районний бюджет Косівського району</t>
  </si>
  <si>
    <t>Районний бюджет Надвірнянського району</t>
  </si>
  <si>
    <t>Районний бюджет Білоцерківського району</t>
  </si>
  <si>
    <t>Районний бюджет Бориспільського району</t>
  </si>
  <si>
    <t>Районний бюджет Обухівського району</t>
  </si>
  <si>
    <t>Районний бюджет Фастівського району</t>
  </si>
  <si>
    <t>Районний бюджет Голованівського району</t>
  </si>
  <si>
    <t xml:space="preserve">Районний бюджет Новоукраїнського району </t>
  </si>
  <si>
    <t>Районний бюджет Олександрійського району</t>
  </si>
  <si>
    <t>Районний бюджет Сватівського району</t>
  </si>
  <si>
    <t>Районний бюджет Старобільського району</t>
  </si>
  <si>
    <t>Районний бюджет Дрогобицького району</t>
  </si>
  <si>
    <t>Районний бюджет Золочівського району</t>
  </si>
  <si>
    <t>Районний бюджет Миколаївського району</t>
  </si>
  <si>
    <t>Районний бюджет Самбірського району</t>
  </si>
  <si>
    <t>Районний бюджет Стрийського району</t>
  </si>
  <si>
    <t>Районний бюджет Яворівського району</t>
  </si>
  <si>
    <t>Районний бюджет Баштанського району</t>
  </si>
  <si>
    <t>Районний бюджет Вознесенського району</t>
  </si>
  <si>
    <t>Районний бюджет Первомайського району</t>
  </si>
  <si>
    <t>Районний бюджет Білгород-Дністровського району</t>
  </si>
  <si>
    <t>Районний бюджет Болградського району</t>
  </si>
  <si>
    <t>Районний бюджет Ізмаїльського району</t>
  </si>
  <si>
    <t>Районний бюджет Роздільнянського району</t>
  </si>
  <si>
    <t>Районний бюджет Кременчуцького району</t>
  </si>
  <si>
    <t>Районний бюджет Лубенського району</t>
  </si>
  <si>
    <t>Районний бюджет Миргородського району</t>
  </si>
  <si>
    <t>Районний бюджет Полтавського району</t>
  </si>
  <si>
    <t>Районний бюджет Дубенського району</t>
  </si>
  <si>
    <t>Районний бюджет Рівненського району</t>
  </si>
  <si>
    <t>Районний бюджет Сарненського району</t>
  </si>
  <si>
    <t>Районний бюджет Конотопського району</t>
  </si>
  <si>
    <t>Районний бюджет Охтирського району</t>
  </si>
  <si>
    <t>Районний бюджет Роменського району</t>
  </si>
  <si>
    <t>Районний бюджет Сумського району</t>
  </si>
  <si>
    <t>Районний бюджет Шосткинського району</t>
  </si>
  <si>
    <t>Районний бюджет Кременецького району</t>
  </si>
  <si>
    <t>Районний бюджет Тернопільського району</t>
  </si>
  <si>
    <t>Районний бюджет Чортківського району</t>
  </si>
  <si>
    <t>Районний бюджет Ізюмського району</t>
  </si>
  <si>
    <t>Районний бюджет Красноградського району</t>
  </si>
  <si>
    <t>Районний бюджет Куп’янського району</t>
  </si>
  <si>
    <t>Районний бюджет Лозівського району</t>
  </si>
  <si>
    <t>Районний бюджет Харківського району</t>
  </si>
  <si>
    <t>Районний бюджет Чугуївського району</t>
  </si>
  <si>
    <t>Районний бюджет Генiчеського району</t>
  </si>
  <si>
    <t>Районний бюджет Каховського району</t>
  </si>
  <si>
    <t>Районний бюджет Кам’янець-Подільського району</t>
  </si>
  <si>
    <t>Районний бюджет Хмельницького району</t>
  </si>
  <si>
    <t>Районний бюджет Шепетівського району</t>
  </si>
  <si>
    <t>Районний бюджет Звенигородського району</t>
  </si>
  <si>
    <t>Районний бюджет Золотоніського району</t>
  </si>
  <si>
    <t>Районний бюджет Уманського району</t>
  </si>
  <si>
    <t>Районний бюджет Черкаського району</t>
  </si>
  <si>
    <t>Районний бюджет Ніжинського району</t>
  </si>
  <si>
    <t>Районний бюджет Новгород-Сіверського району</t>
  </si>
  <si>
    <t>Районний бюджет Прилуцького району</t>
  </si>
  <si>
    <t>05501000000</t>
  </si>
  <si>
    <t>02536000000</t>
  </si>
  <si>
    <t>02537000000</t>
  </si>
  <si>
    <t>04561000000</t>
  </si>
  <si>
    <t>04562000000</t>
  </si>
  <si>
    <t>05511000000</t>
  </si>
  <si>
    <t>06552000000</t>
  </si>
  <si>
    <t>06553000000</t>
  </si>
  <si>
    <t>07507000000</t>
  </si>
  <si>
    <t>08544000000</t>
  </si>
  <si>
    <t>08545000000</t>
  </si>
  <si>
    <t>09530000000</t>
  </si>
  <si>
    <t>Зведений бюджет Миколаївської області</t>
  </si>
  <si>
    <t>gmrz</t>
  </si>
  <si>
    <t>gs</t>
  </si>
  <si>
    <t>gsmt</t>
  </si>
  <si>
    <t>gmoz</t>
  </si>
  <si>
    <t>02538000000</t>
  </si>
  <si>
    <t>08546000000</t>
  </si>
  <si>
    <t>08547000000</t>
  </si>
  <si>
    <t>08548000000</t>
  </si>
  <si>
    <t>09531000000</t>
  </si>
  <si>
    <t>02540000000</t>
  </si>
  <si>
    <t>Разом у розрізі місцевих бюджетів</t>
  </si>
  <si>
    <t>Обсяг коштів, що нерозподілені між місцевими бюджетами</t>
  </si>
  <si>
    <t>Резерв коштів у складі трансферту</t>
  </si>
  <si>
    <t>Резерв коштів для територій Донецької та Луганської областей, на яких органи державної влади тимчасово не здійснюють або здійснюють не в повному обсязі свої повноваження</t>
  </si>
  <si>
    <t>УСЬОГО</t>
  </si>
  <si>
    <t>Умовні позначення та коди</t>
  </si>
  <si>
    <t>Код території</t>
  </si>
  <si>
    <t>Ознака бюджету</t>
  </si>
  <si>
    <t>Назва місцевого бюджету адміністративно-територіальної одиниці</t>
  </si>
  <si>
    <t>Реверсна дотація,
тис. грн</t>
  </si>
  <si>
    <t>Базова дотація,
тис. грн</t>
  </si>
  <si>
    <t>Реверсна дотація, 
тис. грн.</t>
  </si>
  <si>
    <t>Кількість облікованих внутрішньо переміщених осіб
(тис. чол)</t>
  </si>
  <si>
    <t>Населення з урах. кількості ВПО, (тис. чол)</t>
  </si>
  <si>
    <t>Коригування відповідно до ст.100 Бюджетного кодексу України,
 (тис. грн)</t>
  </si>
  <si>
    <t>Надходження ПДФО з урах. коригування,
(тис. грн)</t>
  </si>
  <si>
    <t>Реверсна дотація
(50% більше індексу 1,1),
(тис. грн)</t>
  </si>
  <si>
    <t>Базова дотація (індекс до 0,9 - компенсація 80%),
(тис. грн)</t>
  </si>
  <si>
    <t>Надходження податку на прибуток підприємств в частині, що зараховується до обласних бюджетів (10%),  (тис. грн)</t>
  </si>
  <si>
    <t>Реверсна дотація 
(50% більше індексу 1,1),
(тис. грн)</t>
  </si>
  <si>
    <t>Надходження податку на прибуток підприємств грн на 1 жителя</t>
  </si>
  <si>
    <t>Населення з урах. кількості ВПО, 
(тис. чол)</t>
  </si>
  <si>
    <t>Надходження ПДФО з урах. коригування,
(тис грн.)</t>
  </si>
  <si>
    <t>Надходження ПДФО  грн на 1 жителя</t>
  </si>
  <si>
    <t>Реверсна дотація (50% більше індексу 1,1),
(тис. грн)</t>
  </si>
  <si>
    <t>Надходження податку на прибуток підприємств з урах. коригування
 (тис. грн)</t>
  </si>
  <si>
    <t>02541000000</t>
  </si>
  <si>
    <t>02542000000</t>
  </si>
  <si>
    <t>03551000000</t>
  </si>
  <si>
    <t>06554000000</t>
  </si>
  <si>
    <t>06555000000</t>
  </si>
  <si>
    <t>09532000000</t>
  </si>
  <si>
    <t>11521000000</t>
  </si>
  <si>
    <t>02543000000</t>
  </si>
  <si>
    <t>03552000000</t>
  </si>
  <si>
    <t>03553000000</t>
  </si>
  <si>
    <t>04563000000</t>
  </si>
  <si>
    <t>04564000000</t>
  </si>
  <si>
    <t>04565000000</t>
  </si>
  <si>
    <t>04566000000</t>
  </si>
  <si>
    <t>04567000000</t>
  </si>
  <si>
    <t>04568000000</t>
  </si>
  <si>
    <t>04570000000</t>
  </si>
  <si>
    <t>05512000000</t>
  </si>
  <si>
    <t>05513000000</t>
  </si>
  <si>
    <t>06556000000</t>
  </si>
  <si>
    <t>07511000000</t>
  </si>
  <si>
    <t>07512000000</t>
  </si>
  <si>
    <t>07514000000</t>
  </si>
  <si>
    <t>08549000000</t>
  </si>
  <si>
    <t>08551000000</t>
  </si>
  <si>
    <t>08552000000</t>
  </si>
  <si>
    <t>08554000000</t>
  </si>
  <si>
    <t>08556000000</t>
  </si>
  <si>
    <t>09533000000</t>
  </si>
  <si>
    <t>09534000000</t>
  </si>
  <si>
    <t>09536000000</t>
  </si>
  <si>
    <t>09539000000</t>
  </si>
  <si>
    <t>11523000000</t>
  </si>
  <si>
    <t>11524000000</t>
  </si>
  <si>
    <t>11525000000</t>
  </si>
  <si>
    <t>02546000000</t>
  </si>
  <si>
    <t>03554000000</t>
  </si>
  <si>
    <t>04311200000</t>
  </si>
  <si>
    <t>Районний бюджет Павлоградського району</t>
  </si>
  <si>
    <t>04571000000</t>
  </si>
  <si>
    <t xml:space="preserve">Районний бюджет Бахмутського району </t>
  </si>
  <si>
    <t xml:space="preserve">Районний бюджет Кропивницького району </t>
  </si>
  <si>
    <t>11528000000</t>
  </si>
  <si>
    <t>Резерв</t>
  </si>
  <si>
    <t>Бюджет Харківської міської територіальної громади</t>
  </si>
  <si>
    <t>Бюджет Дубенської міської територіальної громади</t>
  </si>
  <si>
    <t>Бюджет Калинівської міської територіальної громади</t>
  </si>
  <si>
    <t>Бюджет Студенянської сільської територіальної громади</t>
  </si>
  <si>
    <t>Бюджет Іллінецької міської територіальної громади</t>
  </si>
  <si>
    <t xml:space="preserve">Бюджет Вапнярської селищної територіальної громади </t>
  </si>
  <si>
    <t>Бюджет Барcької міської територіальної громади</t>
  </si>
  <si>
    <t>Бюджет Немирівської міської територіальної громади</t>
  </si>
  <si>
    <t>Бюджет Тульчинської міської територіальної громади</t>
  </si>
  <si>
    <t xml:space="preserve">Бюджет Вороновицької селищної територіальної громади </t>
  </si>
  <si>
    <t>Бюджет Дашівської селищної територіальної громади</t>
  </si>
  <si>
    <t>Бюджет Оратівської селищної територіальної громади</t>
  </si>
  <si>
    <r>
      <t>Бюджет Томашпільської селищної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</si>
  <si>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>Бюджет Шпиківської селищної територіальної громади</t>
  </si>
  <si>
    <t xml:space="preserve">Бюджет Бабчинецької сільської територіальної громади 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</si>
  <si>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</si>
  <si>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</si>
  <si>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</si>
  <si>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</si>
  <si>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 xml:space="preserve">Бюджет Якушинецької сільської територіальної громади </t>
  </si>
  <si>
    <t>Бюджет Кунківської сільської територіальної громади</t>
  </si>
  <si>
    <t xml:space="preserve">Бюджет Іванівської сільської територіальної громади </t>
  </si>
  <si>
    <t xml:space="preserve">Бюджет Глуховецької селищної територіальної громади 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</si>
  <si>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</si>
  <si>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</si>
  <si>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</si>
  <si>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Гніванської міської територіальної громади</t>
  </si>
  <si>
    <t>Бюджет Тростянецької селищної територіальної громади</t>
  </si>
  <si>
    <r>
      <t>Бюджет Вінницької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</si>
  <si>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r>
      <t>Бюджет Хмільницької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</si>
  <si>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t xml:space="preserve">Бюджет Теплицької селищної територіальної громади </t>
  </si>
  <si>
    <t xml:space="preserve">Бюджет Соболівської сільської територіальної громади </t>
  </si>
  <si>
    <t xml:space="preserve">Бюджет Літинської селищної територіальної громади </t>
  </si>
  <si>
    <r>
      <t>Бюджет Жмеринської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</si>
  <si>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t xml:space="preserve">Бюджет Сутисківської селищної територіальної громади </t>
  </si>
  <si>
    <t xml:space="preserve">Бюджет Махнівської сільської територіальної громади </t>
  </si>
  <si>
    <t>02547000000</t>
  </si>
  <si>
    <t>Бюджет Агрономічної сільської територіальної громади</t>
  </si>
  <si>
    <t>02548000000</t>
  </si>
  <si>
    <t>Бюджет Бершадської міської територіальної громади</t>
  </si>
  <si>
    <t>02549000000</t>
  </si>
  <si>
    <t>Бюджет Вендичанської селищної територіальної громади</t>
  </si>
  <si>
    <t>02550000000</t>
  </si>
  <si>
    <t>Бюджет Гайсинської міської територіальної громади</t>
  </si>
  <si>
    <t>02551000000</t>
  </si>
  <si>
    <t>Бюджет Городківської сільської територіальної громади</t>
  </si>
  <si>
    <t>02552000000</t>
  </si>
  <si>
    <t>Бюджет Джуринської сільської територіальної громади</t>
  </si>
  <si>
    <t>02553000000</t>
  </si>
  <si>
    <t>Бюджет Козятинської міської територіальної громади</t>
  </si>
  <si>
    <t>02554000000</t>
  </si>
  <si>
    <t>Бюджет Копайгородської селищної територіальної громади</t>
  </si>
  <si>
    <t>02555000000</t>
  </si>
  <si>
    <t>Бюджет Крижопільської селищної територіальної громади</t>
  </si>
  <si>
    <t>02556000000</t>
  </si>
  <si>
    <t>Бюджет Ладижинської міської територіальної громади</t>
  </si>
  <si>
    <t>02557000000</t>
  </si>
  <si>
    <t>Бюджет Липовецької міської територіальної громади</t>
  </si>
  <si>
    <t>02558000000</t>
  </si>
  <si>
    <t>Бюджет Могилів-Подільської міської територіальної громади</t>
  </si>
  <si>
    <t>02559000000</t>
  </si>
  <si>
    <t xml:space="preserve">Бюджет Мурованокуриловецької селищної територіальної громади </t>
  </si>
  <si>
    <t>02560000000</t>
  </si>
  <si>
    <t>Бюджет Ободівської сільської територіальної громади</t>
  </si>
  <si>
    <t>02561000000</t>
  </si>
  <si>
    <t>Бюджет Ольгопільської сільської територіальної громади</t>
  </si>
  <si>
    <t>02562000000</t>
  </si>
  <si>
    <t>Бюджет Піщанської селищної територіальної громади</t>
  </si>
  <si>
    <t>02563000000</t>
  </si>
  <si>
    <t>Бюджет Погребищенської міської територіальної громади</t>
  </si>
  <si>
    <t>02564000000</t>
  </si>
  <si>
    <t>Бюджет Самгородоцької сільської територіальної громади</t>
  </si>
  <si>
    <t xml:space="preserve">Бюджет Станіславчицької сільської територіальної громади </t>
  </si>
  <si>
    <t>02565000000</t>
  </si>
  <si>
    <t>Бюджет Стрижавської селищної територіальної громади</t>
  </si>
  <si>
    <t>02566000000</t>
  </si>
  <si>
    <t>Бюджет Тиврівської селищної територіальної громади</t>
  </si>
  <si>
    <t>02567000000</t>
  </si>
  <si>
    <t>Бюджет Турбівської селищної територіальної громади</t>
  </si>
  <si>
    <t>02568000000</t>
  </si>
  <si>
    <t>Бюджет Уланівської сільської територіальної громади</t>
  </si>
  <si>
    <t>02569000000</t>
  </si>
  <si>
    <t>Бюджет Чернівецької селищної територіальної громади</t>
  </si>
  <si>
    <t>02570000000</t>
  </si>
  <si>
    <t>02571000000</t>
  </si>
  <si>
    <t>Бюджет Шаргородської міської територіальної громади</t>
  </si>
  <si>
    <t>02572000000</t>
  </si>
  <si>
    <t>Бюджет Ямпільської міської територіальної громади</t>
  </si>
  <si>
    <t>02573000000</t>
  </si>
  <si>
    <t>Бюджет Яришівської сільської територіальної громади</t>
  </si>
  <si>
    <t>03301200000</t>
  </si>
  <si>
    <t>Районний бюджет Володимир-Волинського району</t>
  </si>
  <si>
    <t>Бюджет Велицької сільської територіальної громади</t>
  </si>
  <si>
    <t>Бюджет Голобської селищної територіальної громади</t>
  </si>
  <si>
    <t xml:space="preserve">Бюджет Зимнівської сільської територіальної громади 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</si>
  <si>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</si>
  <si>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</si>
  <si>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</si>
  <si>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</si>
  <si>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</si>
  <si>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</si>
  <si>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</si>
  <si>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</si>
  <si>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Поромівської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</si>
  <si>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</si>
  <si>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</si>
  <si>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Вишнівської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</si>
  <si>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</si>
  <si>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</si>
  <si>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</si>
  <si>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</si>
  <si>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</si>
  <si>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</si>
  <si>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</si>
  <si>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</si>
  <si>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</si>
  <si>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</si>
  <si>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</si>
  <si>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</si>
  <si>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 xml:space="preserve">Бюджет Дубечненської сільської територіальної громади </t>
  </si>
  <si>
    <t>Бюджет Сереховичівської сільської територіальної громади</t>
  </si>
  <si>
    <t xml:space="preserve">Бюджет Смідинської сільської територіальної громади  </t>
  </si>
  <si>
    <t>Бюджет Луківської селищної територіальної громади</t>
  </si>
  <si>
    <t xml:space="preserve">Бюджет Турійської селищної територіальної громади 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</si>
  <si>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</si>
  <si>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</si>
  <si>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</si>
  <si>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Торчинської селищної територіальної громади</t>
  </si>
  <si>
    <t>Бюджет Ківерцівської міської територіальної громади</t>
  </si>
  <si>
    <t>Бюджет Старовижівської селищної територіальної громади</t>
  </si>
  <si>
    <r>
      <t>Бюджет Луцької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</si>
  <si>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t xml:space="preserve">Бюджет Мар’янівської селищної територіальної громади </t>
  </si>
  <si>
    <t xml:space="preserve">Бюджет Доросинівської сільської територіальної громади </t>
  </si>
  <si>
    <t xml:space="preserve">Бюджет Сошичненської сільської територіальної громади  </t>
  </si>
  <si>
    <t>03555000000</t>
  </si>
  <si>
    <t>Бюджет Берестечківської міської територіальної громади</t>
  </si>
  <si>
    <t>03556000000</t>
  </si>
  <si>
    <t>Бюджет Володимир-Волинської міської територіальної громади</t>
  </si>
  <si>
    <t>03557000000</t>
  </si>
  <si>
    <t>Бюджет Горохівської міської територіальної громади</t>
  </si>
  <si>
    <t>03558000000</t>
  </si>
  <si>
    <t>Бюджет Камінь-Каширської міської територіальної громади</t>
  </si>
  <si>
    <t>03559000000</t>
  </si>
  <si>
    <t xml:space="preserve">Бюджет Ковельської міської територіальної громади </t>
  </si>
  <si>
    <t>03560000000</t>
  </si>
  <si>
    <t>Бюджет Локачинської селищної територіальної громади</t>
  </si>
  <si>
    <t>03561000000</t>
  </si>
  <si>
    <t xml:space="preserve">Бюджет Маневицької селищної територіальної громади </t>
  </si>
  <si>
    <t>03562000000</t>
  </si>
  <si>
    <t>Бюджет Нововолинської міської територіальної громади</t>
  </si>
  <si>
    <t>03563000000</t>
  </si>
  <si>
    <t>Бюджет Олицької селищної територіальної громади</t>
  </si>
  <si>
    <t>03564000000</t>
  </si>
  <si>
    <t xml:space="preserve">Бюджет Ратнівської селищної територіальної громади </t>
  </si>
  <si>
    <t xml:space="preserve">Бюджет Рожищенської міської територіальної громади </t>
  </si>
  <si>
    <t>04323200000</t>
  </si>
  <si>
    <t>Районний бюджет Кам'янського району</t>
  </si>
  <si>
    <t xml:space="preserve">Бюджет Апостолівської міської територіальної громади </t>
  </si>
  <si>
    <t xml:space="preserve">Бюджет Богданівської сільської територіальної громади </t>
  </si>
  <si>
    <t xml:space="preserve">Бюджет Вербківської сільської територіальної громади </t>
  </si>
  <si>
    <t xml:space="preserve">Бюджет Святовасилівської сільської територіальної громади </t>
  </si>
  <si>
    <t xml:space="preserve">Бюджет Вакулівської сільської територіальної громади </t>
  </si>
  <si>
    <t xml:space="preserve">Бюджет Зеленодольської міської територіальної громади </t>
  </si>
  <si>
    <t xml:space="preserve">Бюджет Грушівської сільської територіальної громади </t>
  </si>
  <si>
    <t xml:space="preserve">Бюджет Ляшківської сільської територіальної громади </t>
  </si>
  <si>
    <t xml:space="preserve">Бюджет Могилівської сільської територіальної громади </t>
  </si>
  <si>
    <t xml:space="preserve">Бюджет Нивотрудівської сільської територіальної громади </t>
  </si>
  <si>
    <t xml:space="preserve">Бюджет Новопокровської селищної територіальної громади </t>
  </si>
  <si>
    <t xml:space="preserve">Бюджет Солонянської селищної територіальної громади </t>
  </si>
  <si>
    <t xml:space="preserve">Бюджет Сурсько-Литовської сільської територіальної громади </t>
  </si>
  <si>
    <t xml:space="preserve">Бюджет Слобожанської селищної територіальної громади </t>
  </si>
  <si>
    <t xml:space="preserve">Бюджет Мирівської сільської територіальної громади </t>
  </si>
  <si>
    <t xml:space="preserve">Бюджет Божедарівської селищної територіальної громади </t>
  </si>
  <si>
    <t xml:space="preserve">Бюджет Васильківської селищної територіальної громади </t>
  </si>
  <si>
    <t xml:space="preserve">Бюджет Вишнівської селищної територіальної громади </t>
  </si>
  <si>
    <t xml:space="preserve">Бюджет Криничанської селищної територіальної громади </t>
  </si>
  <si>
    <t xml:space="preserve">Бюджет Лихівської селищної територіальної громади </t>
  </si>
  <si>
    <t xml:space="preserve">Бюджет Покровської селищної територіальної громади </t>
  </si>
  <si>
    <t xml:space="preserve">Бюджет Роздорської селищної територіальної громади </t>
  </si>
  <si>
    <t xml:space="preserve">Бюджет Томаківської селищної територіальної громади </t>
  </si>
  <si>
    <t xml:space="preserve">Бюджет Царичанської селищної територіальної громади </t>
  </si>
  <si>
    <t xml:space="preserve">Бюджет Великомихайлівської сільської територіальної громади </t>
  </si>
  <si>
    <t xml:space="preserve">Бюджет Гречаноподівської сільської територіальної громади </t>
  </si>
  <si>
    <t xml:space="preserve">Бюджет Маломихайлівської сільської територіальної громади </t>
  </si>
  <si>
    <t xml:space="preserve">Бюджет Новолатівської сільської територіальної громади </t>
  </si>
  <si>
    <t xml:space="preserve">Бюджет Новопавлівської сільської територіальної громади </t>
  </si>
  <si>
    <t>Бюджет Дубовиківської сільської територіальної громади</t>
  </si>
  <si>
    <t xml:space="preserve">Бюджет Верхньодніпровської міської територіальної громади  </t>
  </si>
  <si>
    <t xml:space="preserve">Бюджет Межівської селищної територіальної громади </t>
  </si>
  <si>
    <t xml:space="preserve">Бюджет Червоногригорівської селищної територіальної громади </t>
  </si>
  <si>
    <t>04541000000</t>
  </si>
  <si>
    <t xml:space="preserve">Бюджет Троїцької сільської територіальної громади </t>
  </si>
  <si>
    <t xml:space="preserve">Бюджет Петриківської селищної територіальної громади </t>
  </si>
  <si>
    <t xml:space="preserve">Бюджет Зайцівської сільської територіальної громади </t>
  </si>
  <si>
    <t xml:space="preserve">Бюджет Раївської сільської територіальної громади </t>
  </si>
  <si>
    <t xml:space="preserve">Бюджет Іларіонівської селищної територіальної громади </t>
  </si>
  <si>
    <t xml:space="preserve">Бюджет Славгородської селищної територіальної громади </t>
  </si>
  <si>
    <t xml:space="preserve">Бюджет Китайгородської сільської територіальної громади </t>
  </si>
  <si>
    <t xml:space="preserve">Бюджет Карпівської сільської територіальної громади </t>
  </si>
  <si>
    <t xml:space="preserve">Бюджет Широківської селищної територіальної громади </t>
  </si>
  <si>
    <t xml:space="preserve">Бюджет Юр’ївської селищної територіальної громади </t>
  </si>
  <si>
    <t xml:space="preserve">Бюджет Любимівської сільської територіальної громади </t>
  </si>
  <si>
    <t xml:space="preserve">Бюджет Української сільської територіальної громади </t>
  </si>
  <si>
    <t xml:space="preserve">Бюджет Саксаганської сільської територіальної громади </t>
  </si>
  <si>
    <t xml:space="preserve">Бюджет Девладівської сільської територіальної громади </t>
  </si>
  <si>
    <t>Бюджет Личківської сільської територіальної громади</t>
  </si>
  <si>
    <t>Бюджет Перещепинської міської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</si>
  <si>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</si>
  <si>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</si>
  <si>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 xml:space="preserve">Бюджет Марганецької міської територіальної громади </t>
  </si>
  <si>
    <t xml:space="preserve">Бюджет Покровської міської територіальної громади </t>
  </si>
  <si>
    <t xml:space="preserve">Бюджет Глеюватської сільської територіальної громади </t>
  </si>
  <si>
    <t xml:space="preserve">Бюджет Затишнянської сільської територіальної громади </t>
  </si>
  <si>
    <t xml:space="preserve">Бюджет Магдалинівської селищної територіальної громади </t>
  </si>
  <si>
    <t xml:space="preserve">Бюджет Обухівської селищної територіальної громади </t>
  </si>
  <si>
    <t xml:space="preserve">Бюджет Чернеччинської сільської територіальної громади </t>
  </si>
  <si>
    <t xml:space="preserve">Бюджет Підгородненської міської територіальної громади </t>
  </si>
  <si>
    <t xml:space="preserve">Бюджет Черкаської селищної територіальної громади </t>
  </si>
  <si>
    <t xml:space="preserve">Бюджет Кам'янської міської територіальної громади </t>
  </si>
  <si>
    <t>04572000000</t>
  </si>
  <si>
    <t>Бюджет Брагинівської сільської територіальної громади</t>
  </si>
  <si>
    <t>04573000000</t>
  </si>
  <si>
    <t>Бюджет Верхівцівської міської територіальної громади</t>
  </si>
  <si>
    <t>04574000000</t>
  </si>
  <si>
    <t>Бюджет Вільногірської міської територіальної громади</t>
  </si>
  <si>
    <t>04575000000</t>
  </si>
  <si>
    <t>Бюджет Губиниської селищної територіальної громади</t>
  </si>
  <si>
    <t>04576000000</t>
  </si>
  <si>
    <t xml:space="preserve">Бюджет Дніпровської міської територіальної громади </t>
  </si>
  <si>
    <t>04577000000</t>
  </si>
  <si>
    <t>Бюджет Жовтоводської міської територіальної громади</t>
  </si>
  <si>
    <t>04578000000</t>
  </si>
  <si>
    <t>Бюджет Криворізької міської територіальної громади</t>
  </si>
  <si>
    <t>04579000000</t>
  </si>
  <si>
    <t>Бюджет Лозуватської сільської територіальної громади</t>
  </si>
  <si>
    <t>04580000000</t>
  </si>
  <si>
    <t>Бюджет Миколаївської сільської територіальної громади</t>
  </si>
  <si>
    <t>04581000000</t>
  </si>
  <si>
    <t>Бюджет Нікопольської міської територіальної громади</t>
  </si>
  <si>
    <t>04582000000</t>
  </si>
  <si>
    <t>Бюджет Новомосковської міської територіальної громади</t>
  </si>
  <si>
    <t>04583000000</t>
  </si>
  <si>
    <t>Бюджет Новопільської сільської територіальної громади</t>
  </si>
  <si>
    <t>04584000000</t>
  </si>
  <si>
    <t>Бюджет Павлоградської міської територіальної громади</t>
  </si>
  <si>
    <t>04585000000</t>
  </si>
  <si>
    <t>Бюджет Першотравенської міської територіальної громади</t>
  </si>
  <si>
    <t>04586000000</t>
  </si>
  <si>
    <t>Бюджет Петропавлівської селищної територіальної громади</t>
  </si>
  <si>
    <t>04587000000</t>
  </si>
  <si>
    <t>Бюджет Покровської сільської територіальної громади</t>
  </si>
  <si>
    <t>04588000000</t>
  </si>
  <si>
    <t>Бюджет П’ятихатської міської територіальної громади</t>
  </si>
  <si>
    <t>04589000000</t>
  </si>
  <si>
    <t>Бюджет Синельниківської міської територіальної громади</t>
  </si>
  <si>
    <t>04590000000</t>
  </si>
  <si>
    <t>Бюджет Слов'янської сільської територіальної громади</t>
  </si>
  <si>
    <t>04591000000</t>
  </si>
  <si>
    <t>Бюджет Тернівської міської територіальної громади</t>
  </si>
  <si>
    <t>05318200000</t>
  </si>
  <si>
    <t>05319200000</t>
  </si>
  <si>
    <t>Районний бюджет Краматорського району</t>
  </si>
  <si>
    <t>Районний бюджет Маріупольcького району</t>
  </si>
  <si>
    <t xml:space="preserve">Бюджет Лиманської міської територіальної громади </t>
  </si>
  <si>
    <t xml:space="preserve">Бюджет Шахівської сільської територіальної громади  </t>
  </si>
  <si>
    <t xml:space="preserve">Бюджет Миколаївської міської територіальної громади </t>
  </si>
  <si>
    <t xml:space="preserve">Бюджет Соледарської міської територіальної громади </t>
  </si>
  <si>
    <t xml:space="preserve">Бюджет Іллінівської сільської територіальної громади </t>
  </si>
  <si>
    <t xml:space="preserve">Бюджет Сіверської міської територіальної громади </t>
  </si>
  <si>
    <t xml:space="preserve">Бюджет Званівської сільської територіальної громади </t>
  </si>
  <si>
    <t xml:space="preserve">Бюджет Андріївської сільської територіальної громади </t>
  </si>
  <si>
    <t>Бюджет Олександрівської селищної територіальної громади</t>
  </si>
  <si>
    <t xml:space="preserve">Бюджет Бахмутської міської територіальної громади </t>
  </si>
  <si>
    <t xml:space="preserve">Бюджет Вугледарської міської територіальної громади </t>
  </si>
  <si>
    <t xml:space="preserve">Бюджет Криворізької сільської територіальної громади </t>
  </si>
  <si>
    <t>05514000000</t>
  </si>
  <si>
    <t>Бюджет Авдіївської міської територіальної громади</t>
  </si>
  <si>
    <t>05515000000</t>
  </si>
  <si>
    <t>Бюджет Білозерської міської територіальної громади</t>
  </si>
  <si>
    <t>05516000000</t>
  </si>
  <si>
    <t>Бюджет Великоновосілківської селищної територіальної громади</t>
  </si>
  <si>
    <t>05517000000</t>
  </si>
  <si>
    <t>Бюджет Волноваської міської територіальної громади</t>
  </si>
  <si>
    <t>05518000000</t>
  </si>
  <si>
    <t>Бюджет Гродівської селищної територіальної громади</t>
  </si>
  <si>
    <t>05519000000</t>
  </si>
  <si>
    <t>Бюджет Добропільської міської територіальної громади</t>
  </si>
  <si>
    <t>05520000000</t>
  </si>
  <si>
    <t>Бюджет Дружківської міської територіальної громади</t>
  </si>
  <si>
    <t>05521000000</t>
  </si>
  <si>
    <t>Бюджет Кальчицької сільської територіальної громади</t>
  </si>
  <si>
    <t>05522000000</t>
  </si>
  <si>
    <t>Бюджет Комарської сільської територіальної громади</t>
  </si>
  <si>
    <t>05523000000</t>
  </si>
  <si>
    <t>Бюджет Костянтинівської міської територіальної громади</t>
  </si>
  <si>
    <t>05524000000</t>
  </si>
  <si>
    <t>Бюджет Краматорської міської територіальної громади</t>
  </si>
  <si>
    <t>05525000000</t>
  </si>
  <si>
    <t>Бюджет Курахівської міської територіальної громади</t>
  </si>
  <si>
    <t>05526000000</t>
  </si>
  <si>
    <t>Бюджет Мангушської селищної територіальної громади</t>
  </si>
  <si>
    <t>05527000000</t>
  </si>
  <si>
    <t>Бюджет Мар'їнської міської територіальної громади</t>
  </si>
  <si>
    <t>05528000000</t>
  </si>
  <si>
    <t>05529000000</t>
  </si>
  <si>
    <t>Бюджет Мирненської селищної територіальної громади</t>
  </si>
  <si>
    <t>05530000000</t>
  </si>
  <si>
    <t>Бюджет Мирноградської міської територіальної громади</t>
  </si>
  <si>
    <t>05531000000</t>
  </si>
  <si>
    <t>Бюджет Нікольської селищної територіальної громади</t>
  </si>
  <si>
    <t>05532000000</t>
  </si>
  <si>
    <t>Бюджет Новогродівської міської територіальної громади</t>
  </si>
  <si>
    <t>05533000000</t>
  </si>
  <si>
    <t>Бюджет Новодонецької селищної територіальної громади</t>
  </si>
  <si>
    <t>05534000000</t>
  </si>
  <si>
    <t>Бюджет Ольгинської селищної територіальної громади</t>
  </si>
  <si>
    <t>05535000000</t>
  </si>
  <si>
    <t>Бюджет Очеретинської селищної територіальної громади</t>
  </si>
  <si>
    <t>05536000000</t>
  </si>
  <si>
    <t>Бюджет Покровської міської територіальної громади</t>
  </si>
  <si>
    <t>05537000000</t>
  </si>
  <si>
    <t>Бюджет Сартанської селищної територіальної громади</t>
  </si>
  <si>
    <t>05538000000</t>
  </si>
  <si>
    <t>Бюджет Світлодарської міської територіальної громади</t>
  </si>
  <si>
    <t>05539000000</t>
  </si>
  <si>
    <t>Бюджет Святогірської міської територіальної громади</t>
  </si>
  <si>
    <t>05540000000</t>
  </si>
  <si>
    <t>Бюджет Селидівської міської територіальної громади</t>
  </si>
  <si>
    <t>05541000000</t>
  </si>
  <si>
    <t>Бюджет Слов'янської міської територіальної громади</t>
  </si>
  <si>
    <t>05542000000</t>
  </si>
  <si>
    <t>Бюджет Старомлинівської сільської територіальної громади</t>
  </si>
  <si>
    <t>05543000000</t>
  </si>
  <si>
    <t>Бюджет Торецької міської територіальної громади</t>
  </si>
  <si>
    <t>05544000000</t>
  </si>
  <si>
    <t>Бюджет Удачненської селищної територіальної громади</t>
  </si>
  <si>
    <t>05545000000</t>
  </si>
  <si>
    <t>Бюджет Хлібодарівської сільської територіальної громади</t>
  </si>
  <si>
    <t>05546000000</t>
  </si>
  <si>
    <t>Бюджет Часовоярської міської територіальної громади</t>
  </si>
  <si>
    <t>Бюджет Високівської сільської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</si>
  <si>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</si>
  <si>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</si>
  <si>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Іршанської селищної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</si>
  <si>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</si>
  <si>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</si>
  <si>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</si>
  <si>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Тетерівської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</si>
  <si>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</si>
  <si>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</si>
  <si>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</si>
  <si>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</si>
  <si>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</si>
  <si>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</si>
  <si>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 xml:space="preserve">Бюджет Городницької селищної територіальної громади </t>
  </si>
  <si>
    <t>Бюджет Довбиської селищної територіальної громади</t>
  </si>
  <si>
    <t>Бюджет Лугинської селищної територіальної громади</t>
  </si>
  <si>
    <t xml:space="preserve">Бюджет Миропільської селищної територіальної громади </t>
  </si>
  <si>
    <t>Бюджет Попільнянської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</si>
  <si>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</si>
  <si>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</si>
  <si>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Андрушківської сільської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</si>
  <si>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</si>
  <si>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</si>
  <si>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</si>
  <si>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</si>
  <si>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 xml:space="preserve">Бюджет Краснопільської сільської територіальної громади </t>
  </si>
  <si>
    <t>Бюджет Семенівської сільської територіальної громади</t>
  </si>
  <si>
    <t>Бюджет Станишівської сільської територіальної громади</t>
  </si>
  <si>
    <t xml:space="preserve">Бюджет Ушомирської сільської територіальної громади </t>
  </si>
  <si>
    <t>Бюджет Чижівської сільської територіальної громади</t>
  </si>
  <si>
    <t>Бюджет Ємільчинської селищної територіальної громади</t>
  </si>
  <si>
    <t>Бюджет Любарської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</si>
  <si>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</si>
  <si>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</si>
  <si>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 xml:space="preserve">Бюджет Словечанської сільської територіальної громади </t>
  </si>
  <si>
    <r>
      <t>Бюджет Овруцької міської територіальної громади</t>
    </r>
    <r>
      <rPr>
        <sz val="12"/>
        <color indexed="10"/>
        <rFont val="Times New Roman"/>
        <family val="1"/>
        <charset val="204"/>
      </rPr>
      <t xml:space="preserve"> </t>
    </r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</si>
  <si>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</si>
  <si>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</si>
  <si>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</si>
  <si>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</si>
  <si>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</si>
  <si>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Вільшанської сільської територіальної громади</t>
  </si>
  <si>
    <t>Бюджет Вчорайшенської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</si>
  <si>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</si>
  <si>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</si>
  <si>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</si>
  <si>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</si>
  <si>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r>
      <t>Бюджет Житомирської міської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</si>
  <si>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Бюджет  Новоград-Волинської міської територіальної громади </t>
  </si>
  <si>
    <t xml:space="preserve">Бюджет Стриївської сільської територіальної громади </t>
  </si>
  <si>
    <t xml:space="preserve">Бюджет Харитонівської сільської територіальної громади </t>
  </si>
  <si>
    <t xml:space="preserve">Бюджет Старосілецької сільської територіальної громади </t>
  </si>
  <si>
    <t>06557000000</t>
  </si>
  <si>
    <t>Бюджет Андрушівської міської територіальної громади</t>
  </si>
  <si>
    <t>06558000000</t>
  </si>
  <si>
    <t>Бюджет Бердичівської міської територіальної громади</t>
  </si>
  <si>
    <t>06559000000</t>
  </si>
  <si>
    <t>Бюджет Березівської сільської територіальної громади</t>
  </si>
  <si>
    <t>06560000000</t>
  </si>
  <si>
    <t>Бюджет Волицької сільської територіальної громади</t>
  </si>
  <si>
    <t>06561000000</t>
  </si>
  <si>
    <t>Бюджет Гладковицької сільської територіальної громади</t>
  </si>
  <si>
    <t>06562000000</t>
  </si>
  <si>
    <t>Бюджет Городоцької селищної територіальної громади</t>
  </si>
  <si>
    <t>06563000000</t>
  </si>
  <si>
    <t>Бюджет Коростенської міської територіальної громади</t>
  </si>
  <si>
    <t>06564000000</t>
  </si>
  <si>
    <t>Бюджет Малинської міської територіальної громади</t>
  </si>
  <si>
    <t>06565000000</t>
  </si>
  <si>
    <t>Бюджет Новогуйвинської селищної територіальної громади</t>
  </si>
  <si>
    <t>06566000000</t>
  </si>
  <si>
    <t>Бюджет Романівської селищної територіальної громади</t>
  </si>
  <si>
    <t>06567000000</t>
  </si>
  <si>
    <t>Бюджет Ружинської селищної територіальної громади</t>
  </si>
  <si>
    <t>06568000000</t>
  </si>
  <si>
    <t>Бюджет Черняхівської селищної територіальної громади</t>
  </si>
  <si>
    <t>06569000000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</si>
  <si>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</si>
  <si>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</si>
  <si>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Тячівської міської територіальної громади</t>
  </si>
  <si>
    <t xml:space="preserve">Бюджет Полянської сільської територіальної громади 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</si>
  <si>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</si>
  <si>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</si>
  <si>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Баранинської сільської територіальної громади</t>
  </si>
  <si>
    <t xml:space="preserve">Бюджет Мукачівської міської територіальної громади </t>
  </si>
  <si>
    <t>07508000000</t>
  </si>
  <si>
    <t xml:space="preserve">Бюджет Великоберезнянської селищної територіальної громади </t>
  </si>
  <si>
    <t>07509000000</t>
  </si>
  <si>
    <t>Бюджет Горондівської сільської територіальної громади</t>
  </si>
  <si>
    <t>07510000000</t>
  </si>
  <si>
    <t xml:space="preserve">Бюджет Довжанської сільської територіальної громади </t>
  </si>
  <si>
    <t xml:space="preserve">Бюджет Зарічанської сільської територіальної громади </t>
  </si>
  <si>
    <t xml:space="preserve">Бюджет Кам’янської сільської територіальної громади </t>
  </si>
  <si>
    <t>07513000000</t>
  </si>
  <si>
    <t xml:space="preserve">Бюджет Керецьківської сільської територіальної громади </t>
  </si>
  <si>
    <t xml:space="preserve">Бюджет Косоньської сільської територіальної громади </t>
  </si>
  <si>
    <t>07515000000</t>
  </si>
  <si>
    <t xml:space="preserve">Бюджет Оноківської сільської територіальної громади </t>
  </si>
  <si>
    <t>07516000000</t>
  </si>
  <si>
    <t xml:space="preserve">Бюджет Холмківської сільської територіальної громади </t>
  </si>
  <si>
    <t>07517000000</t>
  </si>
  <si>
    <t xml:space="preserve">Бюджет Берегівської міської територіальної громади </t>
  </si>
  <si>
    <t>07518000000</t>
  </si>
  <si>
    <t>Бюджет Батівської селищної територіальної громади</t>
  </si>
  <si>
    <t>07519000000</t>
  </si>
  <si>
    <t>Бюджет Бедевлянської сільської територіальної громади</t>
  </si>
  <si>
    <t>07520000000</t>
  </si>
  <si>
    <t>Бюджет Білківської сільської територіальної громади</t>
  </si>
  <si>
    <t>07521000000</t>
  </si>
  <si>
    <t>Бюджет Богданської сільської територіальної громади</t>
  </si>
  <si>
    <t>07522000000</t>
  </si>
  <si>
    <t>Бюджет Буштинської селищної територіальної громади</t>
  </si>
  <si>
    <t>07523000000</t>
  </si>
  <si>
    <t>Бюджет Великоберезької сільської територіальної громади</t>
  </si>
  <si>
    <t>07524000000</t>
  </si>
  <si>
    <t>Бюджет Великобийганської сільської територіальної громади</t>
  </si>
  <si>
    <t>07525000000</t>
  </si>
  <si>
    <t>Бюджет Великобичківської селищної територіальної громади</t>
  </si>
  <si>
    <t>07526000000</t>
  </si>
  <si>
    <t>Бюджет Великодобронської сільської територіальної громади</t>
  </si>
  <si>
    <t>07527000000</t>
  </si>
  <si>
    <t>Бюджет Великолучківської сільської територіальної громади</t>
  </si>
  <si>
    <t>07528000000</t>
  </si>
  <si>
    <t>Бюджет Верхньокоропецької сільської територіальної громади</t>
  </si>
  <si>
    <t>07529000000</t>
  </si>
  <si>
    <t>Бюджет Вилоцької селищної територіальної громади</t>
  </si>
  <si>
    <t>07530000000</t>
  </si>
  <si>
    <t>Бюджет Виноградівської міської територіальної громади</t>
  </si>
  <si>
    <t>07531000000</t>
  </si>
  <si>
    <t>Бюджет Вишківської селищної територіальної громади</t>
  </si>
  <si>
    <t>07532000000</t>
  </si>
  <si>
    <t>Бюджет Воловецької селищної територіальної громади</t>
  </si>
  <si>
    <t>07533000000</t>
  </si>
  <si>
    <t>Бюджет Горінчівської сільської територіальної громади</t>
  </si>
  <si>
    <t>07534000000</t>
  </si>
  <si>
    <t>Бюджет Драгівської сільської територіальної громади</t>
  </si>
  <si>
    <t>07535000000</t>
  </si>
  <si>
    <t>Бюджет Дубівської селищної територіальної громади</t>
  </si>
  <si>
    <t>07536000000</t>
  </si>
  <si>
    <t>Бюджет Дубриницько-Малоберезнянської сільської територіальної громади</t>
  </si>
  <si>
    <t>07537000000</t>
  </si>
  <si>
    <t>Бюджет Жденіївської селищної територіальної громади</t>
  </si>
  <si>
    <t>07538000000</t>
  </si>
  <si>
    <t>Бюджет Івановецької сільської територіальної громади</t>
  </si>
  <si>
    <t>07539000000</t>
  </si>
  <si>
    <t>Бюджет Колочавської сільської територіальної громади</t>
  </si>
  <si>
    <t>07540000000</t>
  </si>
  <si>
    <t>Бюджет Кольчинської селищної територіальної громади</t>
  </si>
  <si>
    <t>07541000000</t>
  </si>
  <si>
    <t>Бюджет Королівської селищної територіальної громади</t>
  </si>
  <si>
    <t>07542000000</t>
  </si>
  <si>
    <t>Бюджет Костринської сільської територіальної громади</t>
  </si>
  <si>
    <t>07543000000</t>
  </si>
  <si>
    <t>Бюджет Міжгірської селищної територіальної громади</t>
  </si>
  <si>
    <t>07544000000</t>
  </si>
  <si>
    <t>Бюджет Неліпинської сільської територіальної громади</t>
  </si>
  <si>
    <t>07545000000</t>
  </si>
  <si>
    <t>Бюджет Нересницької сільської територіальної громади</t>
  </si>
  <si>
    <t>07546000000</t>
  </si>
  <si>
    <t>Бюджет Нижньоворітської сільської територіальної громади</t>
  </si>
  <si>
    <t>07547000000</t>
  </si>
  <si>
    <t>Бюджет Пийтерфолвівської сільської територіальної громади</t>
  </si>
  <si>
    <t>07548000000</t>
  </si>
  <si>
    <t>Бюджет Пилипецької сільської територіальної громади</t>
  </si>
  <si>
    <t>07549000000</t>
  </si>
  <si>
    <t>Бюджет Рахівської міської територіальної громади</t>
  </si>
  <si>
    <t>07550000000</t>
  </si>
  <si>
    <t>Бюджет Свалявської міської територіальної громади</t>
  </si>
  <si>
    <t>07551000000</t>
  </si>
  <si>
    <t>Бюджет Середнянської селищної територіальної громади</t>
  </si>
  <si>
    <t>07552000000</t>
  </si>
  <si>
    <t>Бюджет Синевирської сільської територіальної громади</t>
  </si>
  <si>
    <t>07553000000</t>
  </si>
  <si>
    <t>Бюджет Солотвинської селищної територіальної громади</t>
  </si>
  <si>
    <t>07554000000</t>
  </si>
  <si>
    <t>Бюджет Ставненської сільської територіальної громади</t>
  </si>
  <si>
    <t>07555000000</t>
  </si>
  <si>
    <t>Бюджет Сюртівської сільської територіальної громади</t>
  </si>
  <si>
    <t>07556000000</t>
  </si>
  <si>
    <t>Бюджет Тересвянської селищної територіальної громади</t>
  </si>
  <si>
    <t>07557000000</t>
  </si>
  <si>
    <t>Бюджет Тур'є-Реметівської сільської територіальної громади</t>
  </si>
  <si>
    <t>07558000000</t>
  </si>
  <si>
    <t>Бюджет Углянської сільської територіальної громади</t>
  </si>
  <si>
    <t>07559000000</t>
  </si>
  <si>
    <t>Бюджет Ужгородської міської територіальної громади</t>
  </si>
  <si>
    <t>07560000000</t>
  </si>
  <si>
    <t>Бюджет Усть-Чорнянської селищної територіальної громади</t>
  </si>
  <si>
    <t>07561000000</t>
  </si>
  <si>
    <t>Бюджет Хустської міської територіальної громади</t>
  </si>
  <si>
    <t>07562000000</t>
  </si>
  <si>
    <t>Бюджет Чинадіївської селищної територіальної громади</t>
  </si>
  <si>
    <t>07563000000</t>
  </si>
  <si>
    <t>Бюджет Чопської міської територіальної громади</t>
  </si>
  <si>
    <t>07564000000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</si>
  <si>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</si>
  <si>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</si>
  <si>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</si>
  <si>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</si>
  <si>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</si>
  <si>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</si>
  <si>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</si>
  <si>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 xml:space="preserve">Бюджет Приморської міської територіальної громади 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</si>
  <si>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</si>
  <si>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</si>
  <si>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</si>
  <si>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</si>
  <si>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</si>
  <si>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</si>
  <si>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</si>
  <si>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</si>
  <si>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</si>
  <si>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</si>
  <si>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 xml:space="preserve">Бюджет Павлівської сільської територіальної громади </t>
  </si>
  <si>
    <t>Бюджет Широківської сільської територіальної громади</t>
  </si>
  <si>
    <t>Бюджет Водянської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</si>
  <si>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</si>
  <si>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</si>
  <si>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</si>
  <si>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 xml:space="preserve">Бюджет Воздвижівської сільської територіальної громади </t>
  </si>
  <si>
    <t>Бюджет Плодородненської сільської територіальної громади</t>
  </si>
  <si>
    <r>
      <t>Бюджет Приазовської селищної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</si>
  <si>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</si>
  <si>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</si>
  <si>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</si>
  <si>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</si>
  <si>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</si>
  <si>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</si>
  <si>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Роздольської сільської територіальної громади</t>
  </si>
  <si>
    <t xml:space="preserve">Бюджет Бердянської міської територіальної громади </t>
  </si>
  <si>
    <r>
      <t>Бюджет Більмацької селищної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</si>
  <si>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r>
      <t>Бюджет Новоолександрівської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</si>
  <si>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Бюджет Пологівської міської територіальної громади </t>
  </si>
  <si>
    <t xml:space="preserve">Бюджет Розівської селищної територіальної громади </t>
  </si>
  <si>
    <r>
      <t>Бюджет Андрівської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</si>
  <si>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r>
      <t>Бюджет Малинівської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</si>
  <si>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r>
      <t>Бюджет Новенської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</si>
  <si>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r>
      <t>Бюджет Семенівської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</si>
  <si>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Бюджет Тернуватської селищної територіальної громади </t>
  </si>
  <si>
    <r>
      <t>Бюджет Федорівської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</si>
  <si>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>08557000000</t>
  </si>
  <si>
    <t>Бюджет Андріївської селищної територіальної громади</t>
  </si>
  <si>
    <t>08558000000</t>
  </si>
  <si>
    <t>Бюджет Василівської міської територіальної громади</t>
  </si>
  <si>
    <t>08559000000</t>
  </si>
  <si>
    <t>Бюджет Вільнянської міської територіальної громади</t>
  </si>
  <si>
    <t>08560000000</t>
  </si>
  <si>
    <t>Бюджет Дніпрорудненської міської територіальної громади</t>
  </si>
  <si>
    <t>08561000000</t>
  </si>
  <si>
    <t>Бюджет Енергодарської міської територіальної громади</t>
  </si>
  <si>
    <t>08562000000</t>
  </si>
  <si>
    <t>Бюджет Запорізької міської територіальної громади</t>
  </si>
  <si>
    <t>08563000000</t>
  </si>
  <si>
    <t>Бюджет Коларівської сільської територіальної громади</t>
  </si>
  <si>
    <t>08564000000</t>
  </si>
  <si>
    <t>Бюджет Костянтинівської сільської територіальної громади</t>
  </si>
  <si>
    <t>08565000000</t>
  </si>
  <si>
    <t>Бюджет Кушугумської селищної територіальної громади</t>
  </si>
  <si>
    <t>08566000000</t>
  </si>
  <si>
    <t>Бюджет Малобілозерської сільської територіальної громади</t>
  </si>
  <si>
    <t>08567000000</t>
  </si>
  <si>
    <t>Бюджет Матвіївської сільської територіальної громади</t>
  </si>
  <si>
    <t>08568000000</t>
  </si>
  <si>
    <t>Бюджет Мелітопольської міської територіальної громади</t>
  </si>
  <si>
    <t>08569000000</t>
  </si>
  <si>
    <t>Бюджет Михайло-Лукашівської сільської територіальної громади</t>
  </si>
  <si>
    <t>08570000000</t>
  </si>
  <si>
    <t>Бюджет Молочанської міської територіальної громади</t>
  </si>
  <si>
    <t>08571000000</t>
  </si>
  <si>
    <t>Бюджет Нововасилівської селищної територіальної громади</t>
  </si>
  <si>
    <t>08572000000</t>
  </si>
  <si>
    <t>Бюджет Новомиколаївської селищної територіальної громади</t>
  </si>
  <si>
    <t>08573000000</t>
  </si>
  <si>
    <t>Бюджет Степненської сільської територіальної громади</t>
  </si>
  <si>
    <t>08574000000</t>
  </si>
  <si>
    <t>Бюджет Степногірської селищної територіальної громади</t>
  </si>
  <si>
    <t>08575000000</t>
  </si>
  <si>
    <t>08576000000</t>
  </si>
  <si>
    <t>Бюджет Токмацької міської територіальної громади</t>
  </si>
  <si>
    <t>09315200000</t>
  </si>
  <si>
    <t>Районний бюджет Івано-Франківського району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</si>
  <si>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</si>
  <si>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</si>
  <si>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</si>
  <si>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</si>
  <si>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 xml:space="preserve">Бюджет Тлумацької міської територіальної громади 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</si>
  <si>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</si>
  <si>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</si>
  <si>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</si>
  <si>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</si>
  <si>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</si>
  <si>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</si>
  <si>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</si>
  <si>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</si>
  <si>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</si>
  <si>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</si>
  <si>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</si>
  <si>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</si>
  <si>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</si>
  <si>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 xml:space="preserve">Бюджет Ямницької сільської територіальної громади </t>
  </si>
  <si>
    <t>Бюджет Брошнів-Осадської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</si>
  <si>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</si>
  <si>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</si>
  <si>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</si>
  <si>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</si>
  <si>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</si>
  <si>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</si>
  <si>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</si>
  <si>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</si>
  <si>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</si>
  <si>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r>
      <t>Бюджет Коломийської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</si>
  <si>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r>
      <t>Бюджет Калуської міської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</si>
  <si>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 xml:space="preserve">Бюджет Долинської міської територіальної громади </t>
  </si>
  <si>
    <r>
      <t>Бюджет Івано-Франківської міської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</si>
  <si>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 xml:space="preserve">Бюджет Гвіздецької селищної територіальної громади </t>
  </si>
  <si>
    <r>
      <t>Бюджет Дубівської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</si>
  <si>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Бюджет Єзупільської селищної територіальної громади </t>
  </si>
  <si>
    <t>09538000000</t>
  </si>
  <si>
    <r>
      <t>Бюджет Пасічнянської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</si>
  <si>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>09540000000</t>
  </si>
  <si>
    <t>Бюджет Богородчанської селищної територіальної громади</t>
  </si>
  <si>
    <t>09541000000</t>
  </si>
  <si>
    <t>Бюджет Болехівської міської територіальної громади</t>
  </si>
  <si>
    <t>09542000000</t>
  </si>
  <si>
    <t>Бюджет Бурштинської міської територіальної громади</t>
  </si>
  <si>
    <t>09543000000</t>
  </si>
  <si>
    <t>Бюджет Верховинської селищної територіальної громади</t>
  </si>
  <si>
    <t>09544000000</t>
  </si>
  <si>
    <t>09545000000</t>
  </si>
  <si>
    <t>Бюджет Галицької міської територіальної громади</t>
  </si>
  <si>
    <t>09546000000</t>
  </si>
  <si>
    <t>Бюджет Городенківської міської територіальної громади</t>
  </si>
  <si>
    <t>09547000000</t>
  </si>
  <si>
    <t>Бюджет Дубовецької сільської територіальної громади</t>
  </si>
  <si>
    <t>09548000000</t>
  </si>
  <si>
    <t>Бюджет Зеленської сільської територіальної громади</t>
  </si>
  <si>
    <t>09549000000</t>
  </si>
  <si>
    <t>Бюджет Косівської міської територіальної громади</t>
  </si>
  <si>
    <t>09550000000</t>
  </si>
  <si>
    <t>Бюджет Кутської селищної територіальної громади</t>
  </si>
  <si>
    <t>09551000000</t>
  </si>
  <si>
    <t>Бюджет Лисецької селищної територіальної громади</t>
  </si>
  <si>
    <t>09552000000</t>
  </si>
  <si>
    <t>Бюджет Надвірнянської міської територіальної громади</t>
  </si>
  <si>
    <t>09553000000</t>
  </si>
  <si>
    <t>Бюджет Обертинської селищної територіальної громади</t>
  </si>
  <si>
    <t>09554000000</t>
  </si>
  <si>
    <t>Бюджет Отинійської селищної територіальної громади</t>
  </si>
  <si>
    <t>09555000000</t>
  </si>
  <si>
    <t>Бюджет Перегінської селищної територіальної громади</t>
  </si>
  <si>
    <t>09556000000</t>
  </si>
  <si>
    <t>Бюджет Поляницької сільської територіальної громади</t>
  </si>
  <si>
    <t>09557000000</t>
  </si>
  <si>
    <t>Бюджет Рогатинської міської територіальної громади</t>
  </si>
  <si>
    <t>09558000000</t>
  </si>
  <si>
    <t>Бюджет Рожнятівської селищної територіальної громади</t>
  </si>
  <si>
    <t>09559000000</t>
  </si>
  <si>
    <t>Бюджет Снятинської міської територіальної громади</t>
  </si>
  <si>
    <t>09560000000</t>
  </si>
  <si>
    <t>09561000000</t>
  </si>
  <si>
    <t>Бюджет Тисменицької міської територіальної громади</t>
  </si>
  <si>
    <t>09562000000</t>
  </si>
  <si>
    <t>Бюджет Чернелицької селищної територіальної громади</t>
  </si>
  <si>
    <t>09563000000</t>
  </si>
  <si>
    <t>Бюджет Яремчанської міської територіальної громади</t>
  </si>
  <si>
    <t>Районний бюджет Бучанського району</t>
  </si>
  <si>
    <t>Бюджет Калитянської селищної територіальної громади</t>
  </si>
  <si>
    <t>Бюджет Пісківської селищної територіальної громади</t>
  </si>
  <si>
    <t>Бюджет Медвинської сільської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</si>
  <si>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</si>
  <si>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</si>
  <si>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</si>
  <si>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</si>
  <si>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</si>
  <si>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</si>
  <si>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Баришівської селищної територіальної громади</t>
  </si>
  <si>
    <t>Бюджет Бородянської селищної територіальної громади</t>
  </si>
  <si>
    <t>Бюджет Ковалівської сільської територіальної громади</t>
  </si>
  <si>
    <t xml:space="preserve">Бюджет Миронівської міської територіальної громади </t>
  </si>
  <si>
    <t xml:space="preserve">Бюджет Березанської міської територіальної громади </t>
  </si>
  <si>
    <t xml:space="preserve">Бюджет Бучанської міської територіальної громади </t>
  </si>
  <si>
    <t xml:space="preserve">Бюджет Ржищівської міської територіальної громади </t>
  </si>
  <si>
    <t xml:space="preserve">Бюджет Обухівської міської територіальної громади </t>
  </si>
  <si>
    <t xml:space="preserve">Бюджет Богуславської міської територіальної громади </t>
  </si>
  <si>
    <r>
      <t>Бюджет Ташанської сільської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</si>
  <si>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 xml:space="preserve">Бюджет Томашівської сільської територіальної громади </t>
  </si>
  <si>
    <t xml:space="preserve">Бюджет Циблівської сільської територіальної громади </t>
  </si>
  <si>
    <t xml:space="preserve">Бюджет Зазимської сільської територіальної громади </t>
  </si>
  <si>
    <t xml:space="preserve">Бюджет Калинівської селищної територіальної громади </t>
  </si>
  <si>
    <t>Бюджет Бишівської сільської територіальної громади</t>
  </si>
  <si>
    <t>Бюджет Білогородської сільської територіальної громади</t>
  </si>
  <si>
    <t>Бюджет Білоцерківської міської територіальної громади</t>
  </si>
  <si>
    <t>Бюджет Бориспільської міської територіальної громади</t>
  </si>
  <si>
    <t>Бюджет Боярської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</si>
  <si>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</si>
  <si>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</si>
  <si>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</si>
  <si>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</si>
  <si>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Володарської селищної територіальної громади</t>
  </si>
  <si>
    <t>Бюджет Вороньківської сільської територіальної громади</t>
  </si>
  <si>
    <t>Бюджет Гатненської сільської територіальної громади</t>
  </si>
  <si>
    <t>Бюджет Гірської сільської територіальної громади</t>
  </si>
  <si>
    <t>Бюджет Гостомельської селищної територіальної громади</t>
  </si>
  <si>
    <t xml:space="preserve">Бюджет Гребінківської селищної територіальної громади 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</si>
  <si>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</si>
  <si>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</si>
  <si>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</si>
  <si>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Золочівської сільської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</si>
  <si>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</si>
  <si>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</si>
  <si>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Кагарлицької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</si>
  <si>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</si>
  <si>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</si>
  <si>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</si>
  <si>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 xml:space="preserve">Бюджет Макарівської селищної територіальної громади </t>
  </si>
  <si>
    <t>Бюджет Маловільшанської  сільської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</si>
  <si>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</si>
  <si>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</si>
  <si>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</si>
  <si>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</si>
  <si>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</si>
  <si>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Рокитнянської селищної територіальної громади</t>
  </si>
  <si>
    <t>Бюджет Сквирської міської територіальної громади</t>
  </si>
  <si>
    <t>Бюджет Славутицької міської територіальної громади</t>
  </si>
  <si>
    <t>Бюджет Ставищенської селищної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</si>
  <si>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</si>
  <si>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</si>
  <si>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Фастівської міської територіальної громади</t>
  </si>
  <si>
    <t>Бюджет Феодосіївської сільської територіальної громади</t>
  </si>
  <si>
    <t xml:space="preserve">Бюджет Чабанівської селищної територіальної громади </t>
  </si>
  <si>
    <t>Бюджет Яготинської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</si>
  <si>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</si>
  <si>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</si>
  <si>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Новоукраїнської міської територіальної громади</t>
  </si>
  <si>
    <t>Бюджет Великоандрусівської сільської територіальної громади</t>
  </si>
  <si>
    <t>Бюджет Соколівської сільської територіальної громади</t>
  </si>
  <si>
    <t>Бюджет Ганнівської сільської територіальної громади</t>
  </si>
  <si>
    <t>Бюджет Великосеверинівської сільської територіальної громади</t>
  </si>
  <si>
    <t>Бюджет Тишківської сільської територіальної громади</t>
  </si>
  <si>
    <t>Бюджет Катеринівської сільської територіальної громади</t>
  </si>
  <si>
    <r>
      <t>Бюджет Первозванівської сільської територіальної громади</t>
    </r>
    <r>
      <rPr>
        <b/>
        <vertAlign val="superscript"/>
        <sz val="12"/>
        <color indexed="10"/>
        <rFont val="Times New Roman"/>
        <family val="1"/>
        <charset val="204"/>
      </rPr>
      <t xml:space="preserve"> </t>
    </r>
  </si>
  <si>
    <t xml:space="preserve">Бюджет Компаніївської селищної територіальної громади </t>
  </si>
  <si>
    <t>Бюджет Смолінської селищної територіальної громади</t>
  </si>
  <si>
    <t>Бюджет Помічнянської міської територіальної громади</t>
  </si>
  <si>
    <t xml:space="preserve">Бюджет Дмитрівської сільської територіальної громади </t>
  </si>
  <si>
    <t>Бюджет Новопразької селищної територіальної громади</t>
  </si>
  <si>
    <t>Бюджет Приютівської селищної територіальної громади</t>
  </si>
  <si>
    <t>Бюджет Добровеличківської селищної територіальної громади</t>
  </si>
  <si>
    <t>Бюджет Мар’янівської сільської територіальної громади</t>
  </si>
  <si>
    <t>Бюджет Піщанобрідської сільської територіальної громади</t>
  </si>
  <si>
    <t xml:space="preserve">Бюджет Петрівської селищної територіальної громади </t>
  </si>
  <si>
    <t xml:space="preserve">Бюджет Глодоської сільської територіальної громади </t>
  </si>
  <si>
    <t xml:space="preserve">Бюджет Гурівської сільської територіальної громади </t>
  </si>
  <si>
    <t xml:space="preserve">Бюджет Злинської сільської територіальної громади </t>
  </si>
  <si>
    <t>Бюджет Кропивницької міської територіальної громади</t>
  </si>
  <si>
    <t>11529000000</t>
  </si>
  <si>
    <t>Бюджет Аджамської сільської територіальної громади</t>
  </si>
  <si>
    <t>11530000000</t>
  </si>
  <si>
    <t>Бюджет Благовіщенської міської територіальної громади</t>
  </si>
  <si>
    <t>11531000000</t>
  </si>
  <si>
    <t>Бюджет Вільшанської селищної територіальної громади</t>
  </si>
  <si>
    <t>11532000000</t>
  </si>
  <si>
    <t>Бюджет Гайворонської міської територіальної громади</t>
  </si>
  <si>
    <t>11533000000</t>
  </si>
  <si>
    <t>Бюджет Голованівської селищної територіальної громади</t>
  </si>
  <si>
    <t>11534000000</t>
  </si>
  <si>
    <t>Бюджет Долинської міської територіальної громади</t>
  </si>
  <si>
    <t>11535000000</t>
  </si>
  <si>
    <t>Бюджет Заваллівської селищної територіальної громади</t>
  </si>
  <si>
    <t>11536000000</t>
  </si>
  <si>
    <t>Бюджет Знам'янської міської територіальної громади</t>
  </si>
  <si>
    <t>11537000000</t>
  </si>
  <si>
    <t>Бюджет Кетрисанівської сільської територіальної громади</t>
  </si>
  <si>
    <t>11538000000</t>
  </si>
  <si>
    <t xml:space="preserve">Бюджет Надлацької сільської територіальної громади </t>
  </si>
  <si>
    <t>11539000000</t>
  </si>
  <si>
    <t>Бюджет Новгородківської селищної територіальної громади</t>
  </si>
  <si>
    <t>11540000000</t>
  </si>
  <si>
    <t>Бюджет Новоархангельської селищної територіальної громади</t>
  </si>
  <si>
    <t>11541000000</t>
  </si>
  <si>
    <t>Бюджет Новомиргородської міської територіальної громади</t>
  </si>
  <si>
    <t>11542000000</t>
  </si>
  <si>
    <t>11543000000</t>
  </si>
  <si>
    <t>Бюджет Олександрійської міської територіальної громади</t>
  </si>
  <si>
    <t>11544000000</t>
  </si>
  <si>
    <t>Бюджет Онуфріївської селищної територіальної громади</t>
  </si>
  <si>
    <t>11545000000</t>
  </si>
  <si>
    <t>Бюджет Пантаївської селищної територіальної громади</t>
  </si>
  <si>
    <t>11546000000</t>
  </si>
  <si>
    <t>Бюджет Перегонівської сільської територіальної громади</t>
  </si>
  <si>
    <t>11547000000</t>
  </si>
  <si>
    <t>Бюджет Підвисоцької сільської територіальної громади</t>
  </si>
  <si>
    <t>11548000000</t>
  </si>
  <si>
    <t>Бюджет Побузької селищної територіальної громади</t>
  </si>
  <si>
    <t>11549000000</t>
  </si>
  <si>
    <t>Бюджет Рівнянської сільської територіальної громади</t>
  </si>
  <si>
    <t>11550000000</t>
  </si>
  <si>
    <t>Бюджет Світловодської міської територіальної громади</t>
  </si>
  <si>
    <t>11551000000</t>
  </si>
  <si>
    <t>Бюджет Суботцівської сільської територіальної громади</t>
  </si>
  <si>
    <t>11552000000</t>
  </si>
  <si>
    <t>Бюджет Устинівської селищної територіальної громади</t>
  </si>
  <si>
    <t>Районний бюджет Сєвєродонецького району</t>
  </si>
  <si>
    <t>Районний бюджет Щастинського району</t>
  </si>
  <si>
    <t xml:space="preserve">Бюджет Білокуракинської селищної територіальної громади </t>
  </si>
  <si>
    <t xml:space="preserve">Бюджет Новопсковської селищної територіальної громади 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</si>
  <si>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</si>
  <si>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</si>
  <si>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</si>
  <si>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</si>
  <si>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</si>
  <si>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</si>
  <si>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 xml:space="preserve">Бюджет Шульгинської сільської територіальної громади </t>
  </si>
  <si>
    <t xml:space="preserve">Бюджет Марківської селищної територіальної громади </t>
  </si>
  <si>
    <t xml:space="preserve">Бюджет Коломийчиської сільської територіальної громади 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</si>
  <si>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</si>
  <si>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</si>
  <si>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</si>
  <si>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</si>
  <si>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</si>
  <si>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</si>
  <si>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</si>
  <si>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</si>
  <si>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</si>
  <si>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</si>
  <si>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</si>
  <si>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</si>
  <si>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</si>
  <si>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</si>
  <si>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Районний бюджет Львівського району</t>
  </si>
  <si>
    <t>Районний бюджет Червоноградського району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</si>
  <si>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</si>
  <si>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</si>
  <si>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</si>
  <si>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</si>
  <si>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</si>
  <si>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</si>
  <si>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</si>
  <si>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</si>
  <si>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</si>
  <si>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</si>
  <si>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 xml:space="preserve">Бюджет Шегинівської сільської територіальної громади 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</si>
  <si>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</si>
  <si>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</si>
  <si>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</si>
  <si>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</si>
  <si>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</si>
  <si>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</si>
  <si>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</si>
  <si>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</si>
  <si>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</si>
  <si>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</si>
  <si>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</si>
  <si>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</si>
  <si>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</si>
  <si>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</si>
  <si>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</si>
  <si>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13542000000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</si>
  <si>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</si>
  <si>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</si>
  <si>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</si>
  <si>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</si>
  <si>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 xml:space="preserve">Бюджет Бориславської міської територіальної громади </t>
  </si>
  <si>
    <t>13545000000</t>
  </si>
  <si>
    <t>13546000000</t>
  </si>
  <si>
    <t xml:space="preserve">Бюджет Буської міської територіальної громади </t>
  </si>
  <si>
    <t>13547000000</t>
  </si>
  <si>
    <t xml:space="preserve">Бюджет Глинянської міської територіальної громади </t>
  </si>
  <si>
    <t>13548000000</t>
  </si>
  <si>
    <t xml:space="preserve">Бюджет Городоцької міської територіальної громади </t>
  </si>
  <si>
    <t>13549000000</t>
  </si>
  <si>
    <t>Бюджет Грабовецько-Дулібівської сільської територіальної громади</t>
  </si>
  <si>
    <t>13550000000</t>
  </si>
  <si>
    <t xml:space="preserve">Бюджет Добромильської міської територіальної громади </t>
  </si>
  <si>
    <t>13551000000</t>
  </si>
  <si>
    <t xml:space="preserve">Бюджет Добросинсько-Магерівської селищної територіальної громади </t>
  </si>
  <si>
    <t>13552000000</t>
  </si>
  <si>
    <t xml:space="preserve">Бюджет Добротвірської селищної територіальної громади </t>
  </si>
  <si>
    <t>13553000000</t>
  </si>
  <si>
    <t xml:space="preserve">Бюджет Дрогобицької міської територіальної громади </t>
  </si>
  <si>
    <t>13554000000</t>
  </si>
  <si>
    <t xml:space="preserve">Бюджет Жидачівської міської територіальної громади </t>
  </si>
  <si>
    <t>13555000000</t>
  </si>
  <si>
    <t xml:space="preserve">Бюджет Жовківської міської територіальної громади </t>
  </si>
  <si>
    <t>13556000000</t>
  </si>
  <si>
    <t xml:space="preserve">Бюджет Журавненської селищної територіальної громади </t>
  </si>
  <si>
    <t>13557000000</t>
  </si>
  <si>
    <t xml:space="preserve">Бюджет Золочівської міської територіальної громади 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</si>
  <si>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</si>
  <si>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</si>
  <si>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</si>
  <si>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</si>
  <si>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</si>
  <si>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 xml:space="preserve">Бюджет Комарнівської міської територіальної громади </t>
  </si>
  <si>
    <t>13561000000</t>
  </si>
  <si>
    <t xml:space="preserve">Бюджет Красненської селищної територіальної громади </t>
  </si>
  <si>
    <t>13562000000</t>
  </si>
  <si>
    <t xml:space="preserve">Бюджет Куликівської селищної територіальної громади </t>
  </si>
  <si>
    <t>13563000000</t>
  </si>
  <si>
    <t>Бюджет Львівської міської територіальної громади</t>
  </si>
  <si>
    <t>13564000000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</si>
  <si>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</si>
  <si>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</si>
  <si>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</si>
  <si>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</si>
  <si>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</si>
  <si>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</si>
  <si>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</si>
  <si>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</si>
  <si>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</si>
  <si>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 xml:space="preserve">Бюджет Оброшинської сільської територіальної громади 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</si>
  <si>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</si>
  <si>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</si>
  <si>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</si>
  <si>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</si>
  <si>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</si>
  <si>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 xml:space="preserve">Бюджет Поморянської селищної територіальної громади </t>
  </si>
  <si>
    <t>13573000000</t>
  </si>
  <si>
    <t>Бюджет Пустомитівської міської територіальної громади</t>
  </si>
  <si>
    <t>13574000000</t>
  </si>
  <si>
    <t xml:space="preserve">Бюджет Рава-Руської міської територіальної громади </t>
  </si>
  <si>
    <t>13575000000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</si>
  <si>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</si>
  <si>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</si>
  <si>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</si>
  <si>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13577000000</t>
  </si>
  <si>
    <t>Бюджет Сколівської міської територіальної громади</t>
  </si>
  <si>
    <t>13578000000</t>
  </si>
  <si>
    <t>Бюджет Сокальської міської територіальної громади</t>
  </si>
  <si>
    <t>13579000000</t>
  </si>
  <si>
    <t xml:space="preserve">Бюджет Сокільницької сільської територіальної громади 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</si>
  <si>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</si>
  <si>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</si>
  <si>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</si>
  <si>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</si>
  <si>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</si>
  <si>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</si>
  <si>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13583000000</t>
  </si>
  <si>
    <t xml:space="preserve">Бюджет Східницької селищної територіальної громади </t>
  </si>
  <si>
    <t>13584000000</t>
  </si>
  <si>
    <t xml:space="preserve">Бюджет Трускавецької міської територіальної громади </t>
  </si>
  <si>
    <t>13585000000</t>
  </si>
  <si>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</si>
  <si>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</si>
  <si>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</si>
  <si>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13587000000</t>
  </si>
  <si>
    <t>Бюджет Червоноградської міської територіальної громади</t>
  </si>
  <si>
    <t>13588000000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</si>
  <si>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</si>
  <si>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</si>
  <si>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Баштанської міської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</si>
  <si>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</si>
  <si>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</si>
  <si>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</si>
  <si>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</si>
  <si>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 xml:space="preserve">Бюджет Веснянської сільської територіальної громади </t>
  </si>
  <si>
    <t>Бюджет Кам’яномостівської сільської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</si>
  <si>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</si>
  <si>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</si>
  <si>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</si>
  <si>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</si>
  <si>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</si>
  <si>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</si>
  <si>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</si>
  <si>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</si>
  <si>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</si>
  <si>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 xml:space="preserve">Бюджет Дорошівської сільської територіальної громади 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</si>
  <si>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</si>
  <si>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</si>
  <si>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</si>
  <si>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</si>
  <si>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</si>
  <si>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</si>
  <si>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 xml:space="preserve">Бюджет Вознесенської міської територіальної громади </t>
  </si>
  <si>
    <t xml:space="preserve">Бюджет Березнегуватської селищної територіальної громади </t>
  </si>
  <si>
    <t xml:space="preserve">Бюджет Снігурівської міської територіальної громади </t>
  </si>
  <si>
    <t xml:space="preserve">Бюджет Вільнозапорізької сільської територіальної громади </t>
  </si>
  <si>
    <t xml:space="preserve">Бюджет Горохівської сільської територіальної громади </t>
  </si>
  <si>
    <t xml:space="preserve">Бюджет Мигіївської сільської територіальної громади </t>
  </si>
  <si>
    <t xml:space="preserve">Бюджет Новомар’ївської сільської територіальної громади </t>
  </si>
  <si>
    <t xml:space="preserve">Бюджет Софіївської сільської територіальної громади </t>
  </si>
  <si>
    <t xml:space="preserve">Бюджет Сухоєланецької сільської територіальної громади </t>
  </si>
  <si>
    <t xml:space="preserve">Бюджет Мішково-Погорілівської сільської територіальної громади 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</si>
  <si>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</si>
  <si>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</si>
  <si>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</si>
  <si>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</si>
  <si>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</si>
  <si>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</si>
  <si>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</si>
  <si>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</si>
  <si>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</si>
  <si>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</si>
  <si>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</si>
  <si>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Синюхинобрідської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</si>
  <si>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</si>
  <si>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</si>
  <si>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Районний бюджет Подільського району</t>
  </si>
  <si>
    <t>Районний бюджет Одеського району</t>
  </si>
  <si>
    <t xml:space="preserve">Бюджет Балтської міської територіальної громади </t>
  </si>
  <si>
    <t xml:space="preserve">Бюджет Біляївської міської територіальної громади </t>
  </si>
  <si>
    <t>Бюджет Великомихайлівської селищної територіальної громади</t>
  </si>
  <si>
    <t>Бюджет Красносільської сільської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</si>
  <si>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</si>
  <si>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</si>
  <si>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</si>
  <si>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Новокальчевської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</si>
  <si>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</si>
  <si>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</si>
  <si>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</si>
  <si>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</si>
  <si>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</si>
  <si>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Березівської міської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</si>
  <si>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</si>
  <si>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</si>
  <si>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</si>
  <si>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 xml:space="preserve">Бюджет Авангардівської селищної територіальної громади 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</si>
  <si>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</si>
  <si>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</si>
  <si>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</si>
  <si>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</si>
  <si>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</si>
  <si>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</si>
  <si>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Таїровської селищної територіальної громади</t>
  </si>
  <si>
    <t>Бюджет Кілійської міської територіальної громади</t>
  </si>
  <si>
    <t xml:space="preserve">Бюджет Любашівської селищної територіальної громади </t>
  </si>
  <si>
    <t>Бюджет Окнянської селищної територіальної громади</t>
  </si>
  <si>
    <t xml:space="preserve">Бюджет Визирської сільської територіальної громади </t>
  </si>
  <si>
    <t xml:space="preserve">Бюджет Великобуялицької сільської територіальної громади </t>
  </si>
  <si>
    <t xml:space="preserve">Бюджет Великоплосківської сільської територіальної громади </t>
  </si>
  <si>
    <t xml:space="preserve">Бюджет Зеленогірської селищної територіальної громади </t>
  </si>
  <si>
    <t xml:space="preserve">Бюджет Андрієво-Іванівської сільської територіальної громади </t>
  </si>
  <si>
    <t xml:space="preserve">Бюджет Іванівської селищної територіальної громади </t>
  </si>
  <si>
    <t xml:space="preserve">Бюджет Новоборисівської сільської територіальної громади </t>
  </si>
  <si>
    <t xml:space="preserve">Бюджет Петровірівської сільської територіальної громади </t>
  </si>
  <si>
    <t xml:space="preserve">Бюджет Чогодарівської сільської територіальної громади 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</si>
  <si>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</si>
  <si>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</si>
  <si>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</si>
  <si>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</si>
  <si>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</si>
  <si>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</si>
  <si>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</si>
  <si>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</si>
  <si>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</si>
  <si>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</si>
  <si>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</si>
  <si>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</si>
  <si>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</si>
  <si>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</si>
  <si>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</si>
  <si>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</si>
  <si>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</si>
  <si>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</si>
  <si>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</si>
  <si>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</si>
  <si>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</si>
  <si>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</si>
  <si>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</si>
  <si>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Нерубайської сільської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</si>
  <si>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</si>
  <si>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</si>
  <si>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</si>
  <si>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Подільської міської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</si>
  <si>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</si>
  <si>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</si>
  <si>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</si>
  <si>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</si>
  <si>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Саратської селищної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</si>
  <si>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</si>
  <si>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</si>
  <si>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</si>
  <si>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Степанівської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</si>
  <si>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</si>
  <si>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</si>
  <si>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</si>
  <si>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</si>
  <si>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</si>
  <si>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</si>
  <si>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Усатівської сільської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</si>
  <si>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</si>
  <si>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</si>
  <si>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</si>
  <si>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</si>
  <si>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</si>
  <si>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</si>
  <si>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</si>
  <si>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Омельницької сільської територіальної громади</t>
  </si>
  <si>
    <t>Бюджет Пирятинської міської територіальної громади</t>
  </si>
  <si>
    <t>Бюджет Пришибської сільської територіальної громади</t>
  </si>
  <si>
    <t>Бюджет Семенівської селищної територіальної громади</t>
  </si>
  <si>
    <t>Бюджет Шишацької селищної територіальної громади</t>
  </si>
  <si>
    <t>Бюджет Скороходівської селищної територіальної громади</t>
  </si>
  <si>
    <r>
      <t>Бюджет Решетилівської міської територіальної громади</t>
    </r>
    <r>
      <rPr>
        <b/>
        <vertAlign val="superscript"/>
        <sz val="12"/>
        <color indexed="10"/>
        <rFont val="Times New Roman"/>
        <family val="1"/>
        <charset val="204"/>
      </rPr>
      <t xml:space="preserve"> </t>
    </r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</si>
  <si>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</si>
  <si>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</si>
  <si>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Великобагачанської селищної територіальної громади</t>
  </si>
  <si>
    <t>Бюджет Гребінківської міської територіальної громади</t>
  </si>
  <si>
    <t>Бюджет Ланнівської сільської територіальної громади</t>
  </si>
  <si>
    <t xml:space="preserve">Бюджет Лохвицької міської територіальної громади 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</si>
  <si>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</si>
  <si>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</si>
  <si>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</si>
  <si>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 xml:space="preserve">Бюджет Новогалещинської селищної територіальної громади </t>
  </si>
  <si>
    <t>Бюджет Сенчанської сільської територіальної громади</t>
  </si>
  <si>
    <t>Бюджет Петрівсько-Роменської сільської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</si>
  <si>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</si>
  <si>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</si>
  <si>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Щербанівської сільської територіальної громади</t>
  </si>
  <si>
    <t>Бюджет Оболонської сільської територіальної громади</t>
  </si>
  <si>
    <t>Бюджет Мачухівської сільської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</si>
  <si>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</si>
  <si>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</si>
  <si>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Краснолуцької сільської територіальної громади</t>
  </si>
  <si>
    <t>Бюджет Опішнянської селищної територіальної громади</t>
  </si>
  <si>
    <t xml:space="preserve">Бюджет Чорнухинської селищної територіальної громади </t>
  </si>
  <si>
    <t xml:space="preserve">Бюджет Гадяцької міської територіальної громади </t>
  </si>
  <si>
    <t xml:space="preserve">Бюджет Горішньоплавнівської міської територіальної громади </t>
  </si>
  <si>
    <t xml:space="preserve">Бюджет Новоселівської сільської територіальної громади </t>
  </si>
  <si>
    <t xml:space="preserve">Бюджет Великобудищанської сільської територіальної громади </t>
  </si>
  <si>
    <t xml:space="preserve">Бюджет Гоголівської селищної територіальної громади </t>
  </si>
  <si>
    <t xml:space="preserve">Бюджет Зіньківської міської територіальної громади </t>
  </si>
  <si>
    <t xml:space="preserve">Бюджет Новооржицької селищної територіальної громади </t>
  </si>
  <si>
    <t xml:space="preserve">Бюджет Ромоданівської селищної територіальної громади 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</si>
  <si>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</si>
  <si>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</si>
  <si>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 xml:space="preserve">Бюджет Градизької селищної територіальної громади   </t>
  </si>
  <si>
    <t xml:space="preserve">Бюджет Диканської селищної територіальної громади   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</si>
  <si>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</si>
  <si>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</si>
  <si>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Карлівської міської територіальної громади</t>
  </si>
  <si>
    <t>Бюджет Кобеляцької міської територіальної громади</t>
  </si>
  <si>
    <t>Бюджет Комишнянської селищної територіальної громади</t>
  </si>
  <si>
    <t>Бюджет Котелевської селищної територіальної громади</t>
  </si>
  <si>
    <t>Бюджет Кременчуцької міської територіальної громади</t>
  </si>
  <si>
    <t>Бюджет Лубенської міської територіальної громади</t>
  </si>
  <si>
    <t xml:space="preserve">Бюджет Лютенської сільської територіальної громади   </t>
  </si>
  <si>
    <t>Бюджет Миргородської міської територіальної громади</t>
  </si>
  <si>
    <t>Бюджет Оржицької селищної територіальної громади</t>
  </si>
  <si>
    <t>Бюджет Полтавської міської територіальної громади</t>
  </si>
  <si>
    <t>Бюджет Хорольської міської територіальної громади</t>
  </si>
  <si>
    <t>Бюджет Чутівської селищної територіальної громади</t>
  </si>
  <si>
    <t>Районний бюджет Вараського району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</si>
  <si>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</si>
  <si>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</si>
  <si>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Клесівської селищної територіальної громади</t>
  </si>
  <si>
    <t>Бюджет Миляцької сільської територіальної громади</t>
  </si>
  <si>
    <t>Бюджет Підлозцівської сільської територіальної громади</t>
  </si>
  <si>
    <t>Бюджет Радивилівської міської територіальної громади</t>
  </si>
  <si>
    <t>Бюджет Крупецької сільської територіальної громади</t>
  </si>
  <si>
    <t xml:space="preserve">Бюджет Привільненської сільської територіальної громади 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</si>
  <si>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</si>
  <si>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</si>
  <si>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Смизької селищної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</si>
  <si>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</si>
  <si>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</si>
  <si>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 xml:space="preserve">Бюджет Млинівської селищної територіальної громади 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</si>
  <si>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</si>
  <si>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</si>
  <si>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</si>
  <si>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</si>
  <si>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</si>
  <si>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Ярославицької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</si>
  <si>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</si>
  <si>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</si>
  <si>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</si>
  <si>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</si>
  <si>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</si>
  <si>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Шпанівської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</si>
  <si>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</si>
  <si>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</si>
  <si>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</si>
  <si>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</si>
  <si>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r>
      <t>Бюджет Вараської міської територіальної громади</t>
    </r>
    <r>
      <rPr>
        <sz val="14"/>
        <rFont val="Times New Roman"/>
        <family val="1"/>
        <charset val="204"/>
      </rPr>
      <t xml:space="preserve"> </t>
    </r>
  </si>
  <si>
    <t xml:space="preserve">Бюджет Острозької міської територіальної громади </t>
  </si>
  <si>
    <t xml:space="preserve">Бюджет Степанської селищної територіальної громади </t>
  </si>
  <si>
    <t xml:space="preserve">Бюджет Малинської сільської територіальної громади </t>
  </si>
  <si>
    <t xml:space="preserve">Бюджет Антонівської сільської територіальної громади </t>
  </si>
  <si>
    <t xml:space="preserve">Бюджет Великоомелянської сільської територіальної громади </t>
  </si>
  <si>
    <t xml:space="preserve">Бюджет Вирівської сільської територіальної громади </t>
  </si>
  <si>
    <t xml:space="preserve">Бюджет Головинської сільської територіальної громади </t>
  </si>
  <si>
    <t xml:space="preserve">Бюджет Каноницької сільської територіальної громади </t>
  </si>
  <si>
    <t xml:space="preserve">Бюджет Полицької сільської територіальної громади </t>
  </si>
  <si>
    <t xml:space="preserve">Бюджет Рафалівської селищної територіальної громади </t>
  </si>
  <si>
    <t xml:space="preserve">Бюджет Семидубської сільської територіальної громади 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</si>
  <si>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</si>
  <si>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</si>
  <si>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</si>
  <si>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</si>
  <si>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</si>
  <si>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</si>
  <si>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</si>
  <si>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</si>
  <si>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</si>
  <si>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</si>
  <si>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</si>
  <si>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Здолбунівської міської територіальної громади</t>
  </si>
  <si>
    <t>Бюджет Зорянської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</si>
  <si>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</si>
  <si>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</si>
  <si>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</si>
  <si>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</si>
  <si>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</si>
  <si>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</si>
  <si>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</si>
  <si>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</si>
  <si>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</si>
  <si>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</si>
  <si>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Недригайлівської селищної територіальної громади</t>
  </si>
  <si>
    <t>Бюджет Хотінської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</si>
  <si>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</si>
  <si>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</si>
  <si>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</si>
  <si>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</si>
  <si>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 xml:space="preserve">Бюджет Миколаївської сільської територіальної громади 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</si>
  <si>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</si>
  <si>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</si>
  <si>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</si>
  <si>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 xml:space="preserve">Бюджет Краснопільської селищної територіальної громади 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</si>
  <si>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</si>
  <si>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</si>
  <si>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</si>
  <si>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</si>
  <si>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</si>
  <si>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</si>
  <si>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</si>
  <si>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Степанівської селищної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</si>
  <si>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</si>
  <si>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</si>
  <si>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</si>
  <si>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</si>
  <si>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 xml:space="preserve">Бюджет Шосткинської міської територіальної громади </t>
  </si>
  <si>
    <t xml:space="preserve">Бюджет Сумської міської територіальної громади </t>
  </si>
  <si>
    <r>
      <t>Бюджет Липоводолинської селищної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</si>
  <si>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 xml:space="preserve">Бюджет Річківської сільської територіальної громади </t>
  </si>
  <si>
    <t xml:space="preserve">Бюджет Конотопської міської територіальної громади </t>
  </si>
  <si>
    <r>
      <t>Бюджет Білопільської міської територіальної громади</t>
    </r>
    <r>
      <rPr>
        <b/>
        <sz val="14"/>
        <rFont val="Times New Roman"/>
        <family val="1"/>
        <charset val="204"/>
      </rPr>
      <t xml:space="preserve"> </t>
    </r>
  </si>
  <si>
    <t xml:space="preserve">Бюджет Синівської сільської територіальної громади </t>
  </si>
  <si>
    <t xml:space="preserve">Бюджет Охтирської міської територіальної громади </t>
  </si>
  <si>
    <t xml:space="preserve">Бюджет Путивльської міської територіальної громади </t>
  </si>
  <si>
    <t>Бюджет Великописарівської селищної територіальної громади</t>
  </si>
  <si>
    <t>Бюджет Ворожбянської міської територіальної громади</t>
  </si>
  <si>
    <t>Бюджет Глухівської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</si>
  <si>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</si>
  <si>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</si>
  <si>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Попівської сільської територіальної громади</t>
  </si>
  <si>
    <t>Бюджет Роменської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</si>
  <si>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</si>
  <si>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</si>
  <si>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</si>
  <si>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</si>
  <si>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</si>
  <si>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</si>
  <si>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 xml:space="preserve">Бюджет Байковецької сільської територіальної громади 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</si>
  <si>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</si>
  <si>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</si>
  <si>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Великогаївської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</si>
  <si>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</si>
  <si>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</si>
  <si>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Золотниківської сільської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</si>
  <si>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</si>
  <si>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</si>
  <si>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</si>
  <si>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</si>
  <si>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</si>
  <si>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</si>
  <si>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</si>
  <si>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</si>
  <si>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</si>
  <si>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</si>
  <si>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</si>
  <si>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</si>
  <si>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</si>
  <si>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Скориківської сільської територіальної громади</t>
  </si>
  <si>
    <t>Бюджет Теребовлянської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</si>
  <si>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</si>
  <si>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</si>
  <si>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 xml:space="preserve">Бюджет Вишнівецької селищної територіальної громади 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</si>
  <si>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</si>
  <si>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</si>
  <si>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</si>
  <si>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</si>
  <si>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Великодедеркальської сільської територіальної громади</t>
  </si>
  <si>
    <t xml:space="preserve">Бюджет Трибухівської сільської територіальної громади </t>
  </si>
  <si>
    <t xml:space="preserve">Бюджет Саранчуківської сільської територіальної громади 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</si>
  <si>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</si>
  <si>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</si>
  <si>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</si>
  <si>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 xml:space="preserve">Бюджет Товстенської селищної територіальної громади 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</si>
  <si>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</si>
  <si>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</si>
  <si>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Купчинецької сільської територіальної громади</t>
  </si>
  <si>
    <t>Бюджет Монастириської міської територіальної громади</t>
  </si>
  <si>
    <t xml:space="preserve">Бюджет Бережанської міської територіальної громади </t>
  </si>
  <si>
    <t xml:space="preserve">Бюджет Тернопільської міської територіальної громади </t>
  </si>
  <si>
    <t xml:space="preserve">Бюджет Великобірківської селищної територіальної громади </t>
  </si>
  <si>
    <t xml:space="preserve">Бюджет Нараївської сільської територіальної громади </t>
  </si>
  <si>
    <t xml:space="preserve">Бюджет Чортківської міської територіальної громади </t>
  </si>
  <si>
    <t>Бюджет Бучацької міської територіальної громади</t>
  </si>
  <si>
    <t>Бюджет Великоберезовицької селищної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</si>
  <si>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</si>
  <si>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</si>
  <si>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</si>
  <si>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Козівської селищної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</si>
  <si>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</si>
  <si>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</si>
  <si>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Підгаєцької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</si>
  <si>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</si>
  <si>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</si>
  <si>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</si>
  <si>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</si>
  <si>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</si>
  <si>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</si>
  <si>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</si>
  <si>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 xml:space="preserve">Бюджет Зачепилівської селищної територіальної громади 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</si>
  <si>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</si>
  <si>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</si>
  <si>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</si>
  <si>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</si>
  <si>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</si>
  <si>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</si>
  <si>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 xml:space="preserve">Бюджет Пісочинської селищної територіальної громади 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</si>
  <si>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</si>
  <si>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</si>
  <si>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 xml:space="preserve">Бюджет Лозівської міської територіальної громади </t>
  </si>
  <si>
    <r>
      <t>Бюджет Ізюмської міської територіальної громади</t>
    </r>
    <r>
      <rPr>
        <sz val="14"/>
        <rFont val="Times New Roman"/>
        <family val="1"/>
        <charset val="204"/>
      </rPr>
      <t xml:space="preserve"> </t>
    </r>
  </si>
  <si>
    <t xml:space="preserve">Бюджет Олексіївської сільської територіальної громади </t>
  </si>
  <si>
    <t xml:space="preserve">Бюджет Донецької селищної територіальної громади </t>
  </si>
  <si>
    <t xml:space="preserve">Бюджет Кіндрашівської сільської територіальної громади </t>
  </si>
  <si>
    <t xml:space="preserve">Бюджет Курилівської сільської територіальної громади </t>
  </si>
  <si>
    <t xml:space="preserve">Бюджет Петропавлівської сільської територіальної громади 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</si>
  <si>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</si>
  <si>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</si>
  <si>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</si>
  <si>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Біляївської сільської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</si>
  <si>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</si>
  <si>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</si>
  <si>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</si>
  <si>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</si>
  <si>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</si>
  <si>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Вільхівської сільської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</si>
  <si>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</si>
  <si>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</si>
  <si>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</si>
  <si>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Дергачівської міської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</si>
  <si>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</si>
  <si>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</si>
  <si>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Красноградської міської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</si>
  <si>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</si>
  <si>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</si>
  <si>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Куп'янської міської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</si>
  <si>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</si>
  <si>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</si>
  <si>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</si>
  <si>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</si>
  <si>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</si>
  <si>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</si>
  <si>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</si>
  <si>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</si>
  <si>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</si>
  <si>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</si>
  <si>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Районний бюджет Херсонського району</t>
  </si>
  <si>
    <t>Бюджет Кочубеївської сільської територіальної громади</t>
  </si>
  <si>
    <t xml:space="preserve">Бюджет Асканії-Нової селищної територіальної громади </t>
  </si>
  <si>
    <t xml:space="preserve">Бюджет Каланчацької селищної територіальної громади </t>
  </si>
  <si>
    <t xml:space="preserve">Бюджет Чаплинської селищної територіальної громади 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</si>
  <si>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</si>
  <si>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</si>
  <si>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</si>
  <si>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</si>
  <si>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</si>
  <si>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</si>
  <si>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</si>
  <si>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</si>
  <si>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</si>
  <si>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</si>
  <si>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Борозенської сільської територіальної громади</t>
  </si>
  <si>
    <t>Бюджет Високопільської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</si>
  <si>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</si>
  <si>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</si>
  <si>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</si>
  <si>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</si>
  <si>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</si>
  <si>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</si>
  <si>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</si>
  <si>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 xml:space="preserve">Бюджет Новокаховської міської територіальної громади </t>
  </si>
  <si>
    <r>
      <t>Бюджет Голопристанської міської територіальної громади</t>
    </r>
    <r>
      <rPr>
        <b/>
        <sz val="12"/>
        <color indexed="10"/>
        <rFont val="Times New Roman"/>
        <family val="1"/>
        <charset val="204"/>
      </rPr>
      <t xml:space="preserve"> </t>
    </r>
  </si>
  <si>
    <t xml:space="preserve">Бюджет Милівської  сільської територіальної громади 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</si>
  <si>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</si>
  <si>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</si>
  <si>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</si>
  <si>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</si>
  <si>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</si>
  <si>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Дар'ївської сільської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</si>
  <si>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</si>
  <si>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</si>
  <si>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</si>
  <si>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</si>
  <si>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</si>
  <si>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</si>
  <si>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</si>
  <si>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</si>
  <si>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</si>
  <si>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</si>
  <si>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</si>
  <si>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</si>
  <si>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</si>
  <si>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</si>
  <si>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</si>
  <si>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</si>
  <si>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Волочиської міської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</si>
  <si>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</si>
  <si>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</si>
  <si>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</si>
  <si>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</si>
  <si>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</si>
  <si>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Летичівської селищної територіальної громади</t>
  </si>
  <si>
    <t>Бюджет Лісовогринівецької сільської територіальної громади</t>
  </si>
  <si>
    <t>Бюджет Маківської сільської територіальної громади</t>
  </si>
  <si>
    <t>Бюджет Меджибізької селищної територіальної громади</t>
  </si>
  <si>
    <t>Бюджет Наркевицької селищної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</si>
  <si>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</si>
  <si>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</si>
  <si>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</si>
  <si>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 xml:space="preserve">Бюджет Розсошанської сільської територіальної громади 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</si>
  <si>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</si>
  <si>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</si>
  <si>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</si>
  <si>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</si>
  <si>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</si>
  <si>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</si>
  <si>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</si>
  <si>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</si>
  <si>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</si>
  <si>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 xml:space="preserve">Бюджет Красилівської міської територіальної громади </t>
  </si>
  <si>
    <t>Бюджет Солобковецької сільської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</si>
  <si>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</si>
  <si>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</si>
  <si>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</si>
  <si>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</si>
  <si>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</si>
  <si>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 xml:space="preserve">Бюджет Крупецької сільської територіальної громади </t>
  </si>
  <si>
    <t>Бюджет Білогірської селищної територіальної громади</t>
  </si>
  <si>
    <t xml:space="preserve">Бюджет Улашанівської сільської територіальної громади </t>
  </si>
  <si>
    <t xml:space="preserve">Бюджет Славутської міської територіальної громади </t>
  </si>
  <si>
    <r>
      <t>Бюджет Нетішинської міської територіальної громади</t>
    </r>
    <r>
      <rPr>
        <b/>
        <vertAlign val="superscript"/>
        <sz val="12"/>
        <color indexed="10"/>
        <rFont val="Times New Roman"/>
        <family val="1"/>
        <charset val="204"/>
      </rPr>
      <t xml:space="preserve"> </t>
    </r>
  </si>
  <si>
    <t xml:space="preserve">Бюджет Плужненської сільської територіальної громади </t>
  </si>
  <si>
    <t xml:space="preserve">Бюджет Заслучненської сільської територіальної громади </t>
  </si>
  <si>
    <t xml:space="preserve">Бюджет Старокостянтинівської міської територіальної громади 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</si>
  <si>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</si>
  <si>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</si>
  <si>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</si>
  <si>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</si>
  <si>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</si>
  <si>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Кам'янець-Подільської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</si>
  <si>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</si>
  <si>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</si>
  <si>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</si>
  <si>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Староостропільської сільської територіальної громади</t>
  </si>
  <si>
    <t>Бюджет Теофіпольської селищної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</si>
  <si>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</si>
  <si>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</si>
  <si>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</si>
  <si>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Ярмолинецької селищної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</si>
  <si>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</si>
  <si>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</si>
  <si>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</si>
  <si>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</si>
  <si>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</si>
  <si>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</si>
  <si>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</si>
  <si>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 xml:space="preserve">Бюджет Ротмістрівської сільської територіальної громади </t>
  </si>
  <si>
    <t xml:space="preserve">Бюджет Шполянської міської територіальної громади 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</si>
  <si>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</si>
  <si>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</si>
  <si>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</si>
  <si>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</si>
  <si>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</si>
  <si>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</si>
  <si>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 xml:space="preserve">Бюджет Паланської сільської територіальної громади 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</si>
  <si>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</si>
  <si>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</si>
  <si>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</si>
  <si>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</si>
  <si>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</si>
  <si>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</si>
  <si>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</si>
  <si>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</si>
  <si>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</si>
  <si>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</si>
  <si>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</si>
  <si>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</si>
  <si>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</si>
  <si>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</si>
  <si>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 xml:space="preserve">Бюджет Лип’янської сільської територіальної громади 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</si>
  <si>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</si>
  <si>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</si>
  <si>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</si>
  <si>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</si>
  <si>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</si>
  <si>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</si>
  <si>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</si>
  <si>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 xml:space="preserve">Бюджет Канівської міської територіальної громади </t>
  </si>
  <si>
    <t xml:space="preserve">Бюджет Драбівської селищної територіальної громади </t>
  </si>
  <si>
    <t xml:space="preserve">Бюджет Баштечківської сільської територіальної громади </t>
  </si>
  <si>
    <t xml:space="preserve">Бюджет Виноградської сільської територіальної громади </t>
  </si>
  <si>
    <t>Бюджет Бабанської селищної територіальної громади</t>
  </si>
  <si>
    <t>Бюджет Будищенської сільської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</si>
  <si>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</si>
  <si>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</si>
  <si>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</si>
  <si>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</si>
  <si>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Звенигородської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</si>
  <si>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</si>
  <si>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</si>
  <si>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</si>
  <si>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</si>
  <si>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</si>
  <si>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</si>
  <si>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</si>
  <si>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Смілянської міської територіальної громади</t>
  </si>
  <si>
    <t>Бюджет Уманської міської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</si>
  <si>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</si>
  <si>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</si>
  <si>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</si>
  <si>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</si>
  <si>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</si>
  <si>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</si>
  <si>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r>
      <t>Бюджет Глибоцької селищної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</si>
  <si>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</si>
  <si>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</si>
  <si>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</si>
  <si>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</si>
  <si>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</si>
  <si>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</si>
  <si>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</si>
  <si>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</si>
  <si>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</si>
  <si>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</si>
  <si>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</si>
  <si>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</si>
  <si>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</si>
  <si>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</si>
  <si>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</si>
  <si>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</si>
  <si>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</si>
  <si>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</si>
  <si>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</si>
  <si>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</si>
  <si>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</si>
  <si>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</si>
  <si>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</si>
  <si>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</si>
  <si>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</si>
  <si>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</si>
  <si>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</si>
  <si>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 xml:space="preserve">Бюджет Новодністровської міської територіальної громади </t>
  </si>
  <si>
    <t xml:space="preserve">Бюджет Ванчиковецької сільської територіальної громади </t>
  </si>
  <si>
    <t xml:space="preserve">Бюджет Карапчівської сільської територіальної громади </t>
  </si>
  <si>
    <t xml:space="preserve">Бюджет Сучевенської сільської територіальної громади </t>
  </si>
  <si>
    <t xml:space="preserve">Бюджет Кадубовецької сільської територіальної громади 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</si>
  <si>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</si>
  <si>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</si>
  <si>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</si>
  <si>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</si>
  <si>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</si>
  <si>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</si>
  <si>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</si>
  <si>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</si>
  <si>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</si>
  <si>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</si>
  <si>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</si>
  <si>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</si>
  <si>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Чернівецької міської територіальної громади</t>
  </si>
  <si>
    <t xml:space="preserve">Бюджет Вертіївської сільської територіальної громади </t>
  </si>
  <si>
    <t xml:space="preserve">Бюджет Деснянської селищної територіальної громади </t>
  </si>
  <si>
    <t>Бюджет Кіптівської сільської територіальної громади</t>
  </si>
  <si>
    <t>Бюджет Макіївської сільської територіальної громади</t>
  </si>
  <si>
    <t>Бюджет Парафіївської селищної територіальної громади</t>
  </si>
  <si>
    <t>Бюджет Батуринської міської територіальної громади</t>
  </si>
  <si>
    <t xml:space="preserve">Бюджет Корюківської міської територіальної громади 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</si>
  <si>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</si>
  <si>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</si>
  <si>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</si>
  <si>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 xml:space="preserve">Бюджет Гончарівської селищної територіальної громади </t>
  </si>
  <si>
    <t>Бюджет Коропської селищної територіальної громади</t>
  </si>
  <si>
    <t>Бюджет Лосинівської селищної територіальної громади</t>
  </si>
  <si>
    <t xml:space="preserve">Бюджет Михайло-Коцюбинської селищної територіальної громади </t>
  </si>
  <si>
    <t>Бюджет Мринської сільської територіальної громади</t>
  </si>
  <si>
    <t>Бюджет Менської міської територіальної громади</t>
  </si>
  <si>
    <t>Бюджет Козелецької селищної територіальної громади</t>
  </si>
  <si>
    <t>Бюджет Комарівської сільської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</si>
  <si>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</si>
  <si>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</si>
  <si>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Плисківської сільської територіальної громади</t>
  </si>
  <si>
    <t>Бюджет Тупичівської сільської територіальної громади</t>
  </si>
  <si>
    <t>Бюджет Ічнянської міської територіальної громади</t>
  </si>
  <si>
    <t>Бюджет Малодівицької селищної територіальної громади</t>
  </si>
  <si>
    <t xml:space="preserve">Бюджет Любецької селищної територіальної громади </t>
  </si>
  <si>
    <t xml:space="preserve">Бюджет Семенівської міської територіальної громади </t>
  </si>
  <si>
    <t>Бюджет Сосницької селищної територіальної громади</t>
  </si>
  <si>
    <t>Бюджет Срібнянської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</si>
  <si>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</si>
  <si>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</si>
  <si>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</si>
  <si>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</si>
  <si>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</si>
  <si>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r>
      <t>Бюджет Городнянської міської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</si>
  <si>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>Бюджет Линовицької селищної територіальної громади</t>
  </si>
  <si>
    <r>
      <t>Бюджет Ніжинської міської територіальної громади</t>
    </r>
    <r>
      <rPr>
        <b/>
        <sz val="14"/>
        <color indexed="10"/>
        <rFont val="Times New Roman"/>
        <family val="1"/>
        <charset val="204"/>
      </rPr>
      <t xml:space="preserve"> </t>
    </r>
  </si>
  <si>
    <t xml:space="preserve">Бюджет Новгород-Сіверської міської територіальної громади </t>
  </si>
  <si>
    <t xml:space="preserve">Бюджет Борзнянської міської територіальної громади </t>
  </si>
  <si>
    <t xml:space="preserve">Бюджет Новобілоуської сільської територіальної громади </t>
  </si>
  <si>
    <t xml:space="preserve">Бюджет Киїнської сільської територіальної громади </t>
  </si>
  <si>
    <t xml:space="preserve">Бюджет Добрянської селищної територіальної громади </t>
  </si>
  <si>
    <t xml:space="preserve">Бюджет Киселівської сільської територіальної громади </t>
  </si>
  <si>
    <t xml:space="preserve">Бюджет Понорницької селищної територіальної громади </t>
  </si>
  <si>
    <t xml:space="preserve">Бюджет Сухополов’янської сільської територіальної громади </t>
  </si>
  <si>
    <t xml:space="preserve">Бюджет Талалаївської сільської територіальної громади </t>
  </si>
  <si>
    <t>Бюджет Бахмацької міської територіальної громади</t>
  </si>
  <si>
    <t>Бюджет Березнянської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</si>
  <si>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</si>
  <si>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</si>
  <si>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</si>
  <si>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</si>
  <si>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</si>
  <si>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</si>
  <si>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Бюджет Яблунівської сільської територіальної громади</t>
  </si>
  <si>
    <t>03565000000</t>
  </si>
  <si>
    <t>Бюджет Дмитрівської селищної територіальної громади</t>
  </si>
  <si>
    <t>02305200000</t>
  </si>
  <si>
    <t>Районний бюджет Жмеринського району</t>
  </si>
  <si>
    <t>03546000000</t>
  </si>
  <si>
    <t>04316200000</t>
  </si>
  <si>
    <t>Районний бюджет Синельниківського району</t>
  </si>
  <si>
    <t xml:space="preserve">Бюджет Першотравневської сільської територіальної громади </t>
  </si>
  <si>
    <t xml:space="preserve">Бюджет Межиріцької сільської територіальної громади </t>
  </si>
  <si>
    <t>07309200000</t>
  </si>
  <si>
    <t>Районний бюджет Рахівського району</t>
  </si>
  <si>
    <t>Бюджет Олександрівської сільської територіальної громади</t>
  </si>
  <si>
    <t>08555000000</t>
  </si>
  <si>
    <t>09302200000</t>
  </si>
  <si>
    <t>Районний бюджет Верховинського району</t>
  </si>
  <si>
    <t>09535000000</t>
  </si>
  <si>
    <r>
      <t>Бюджет Підгайчиківської сільської територіальної громади</t>
    </r>
    <r>
      <rPr>
        <vertAlign val="superscript"/>
        <sz val="12"/>
        <rFont val="Times New Roman"/>
        <family val="1"/>
        <charset val="204"/>
      </rPr>
      <t xml:space="preserve"> </t>
    </r>
  </si>
  <si>
    <t>10306200000</t>
  </si>
  <si>
    <t>Районний бюджет Броварського району</t>
  </si>
  <si>
    <t>10308200000</t>
  </si>
  <si>
    <t>Районний бюджет Вишгородського району</t>
  </si>
  <si>
    <t>Бюджет Попельнастівської сільської територіальної громади</t>
  </si>
  <si>
    <t>15304200000</t>
  </si>
  <si>
    <t>Районний бюджет Березівського району</t>
  </si>
  <si>
    <t>20304200000</t>
  </si>
  <si>
    <t>Районний бюджет Богодухівського району</t>
  </si>
  <si>
    <t>21301200000</t>
  </si>
  <si>
    <t>Районний бюджет Бериславського району</t>
  </si>
  <si>
    <t>21316200000</t>
  </si>
  <si>
    <t>Районний бюджет Скадовського району</t>
  </si>
  <si>
    <t>24301200000</t>
  </si>
  <si>
    <t>Районний бюджет Вижницького району</t>
  </si>
  <si>
    <t>24305200000</t>
  </si>
  <si>
    <t>25309200000</t>
  </si>
  <si>
    <t>Районний бюджет Корюківського району</t>
  </si>
  <si>
    <t>02574000000</t>
  </si>
  <si>
    <t>Бюджети територіальних громад у Вінницькій області</t>
  </si>
  <si>
    <t>Бюджети територіальних громад у Волинській області</t>
  </si>
  <si>
    <t>Бюджети територіальних громад у Дніпропетровській області</t>
  </si>
  <si>
    <t>Бюджети територіальних громад у Донецькій області</t>
  </si>
  <si>
    <t>Бюджети територіальних громад у Житомирській області</t>
  </si>
  <si>
    <t>Бюджети територіальних громад у Закарпатській області</t>
  </si>
  <si>
    <t>Бюджети територіальних громад у Запорізькій області</t>
  </si>
  <si>
    <t>Бюджети територіальних громад у Івано-Франківській області</t>
  </si>
  <si>
    <t>Бюджети територіальних громад у Київській області</t>
  </si>
  <si>
    <t>Бюджети територіальних громад у Кіровоградській області</t>
  </si>
  <si>
    <t>Бюджети територіальних громад у Луганській області</t>
  </si>
  <si>
    <t>Бюджети територіальних громад у Львівській області</t>
  </si>
  <si>
    <t>Бюджети територіальних громад у Миколаївській області</t>
  </si>
  <si>
    <t>Бюджети територіальних громад у Одеській області</t>
  </si>
  <si>
    <t>Бюджети територіальних громад у Полтавській області</t>
  </si>
  <si>
    <t>Бюджети територіальних громад у Рівненській області</t>
  </si>
  <si>
    <t>Бюджети територіальних громад у Сумській області</t>
  </si>
  <si>
    <t>Бюджети територіальних громад у Тернопільській області</t>
  </si>
  <si>
    <t>Бюджети територіальних громад у Харківській області</t>
  </si>
  <si>
    <t>Бюджети територіальних громад у Херсонській області</t>
  </si>
  <si>
    <t>Бюджети територіальних громад у Хмельницькій області</t>
  </si>
  <si>
    <t>Бюджети територіальних громад у Черкаській області</t>
  </si>
  <si>
    <t>Бюджети територіальних громад у Чернівецькій області</t>
  </si>
  <si>
    <t>Бюджети територіальних громад у Чернігівської області</t>
  </si>
  <si>
    <t>Бюджети районів Вінницької області</t>
  </si>
  <si>
    <t>Бюджет Війтівецької сільської територіальної громади</t>
  </si>
  <si>
    <t>Бюджети районів Волинської області</t>
  </si>
  <si>
    <t>Бюджети районів Дніпропетровської області</t>
  </si>
  <si>
    <t>Бюджети районів Донецької області</t>
  </si>
  <si>
    <t>Бюджети районів Житомирської області</t>
  </si>
  <si>
    <t>Районний бюджет Бердичівського району</t>
  </si>
  <si>
    <t>Бюджети районів Закарпатської області</t>
  </si>
  <si>
    <t>Бюджети районів Запорізької області</t>
  </si>
  <si>
    <t>Бюджети районів Івано-Франківської області</t>
  </si>
  <si>
    <t>Бюджети районів Київської області</t>
  </si>
  <si>
    <t>Бюджети районів Кіровоградської області</t>
  </si>
  <si>
    <t>Бюджети районів Луганської області</t>
  </si>
  <si>
    <t>Бюджети районів Львівської області</t>
  </si>
  <si>
    <t>Бюджети районів Миколаївської області</t>
  </si>
  <si>
    <t>Бюджети районів Одеської області</t>
  </si>
  <si>
    <t>Бюджет Овідіопольської селищної територіальної громади</t>
  </si>
  <si>
    <t>Бюджети районів Полтавської області</t>
  </si>
  <si>
    <t>Бюджети районів Рівненської області</t>
  </si>
  <si>
    <t>Бюджети районів Сумської області</t>
  </si>
  <si>
    <t>Бюджети районів Тернопільської області</t>
  </si>
  <si>
    <t>Бюджети районів Харківської області</t>
  </si>
  <si>
    <t>Бюджети районів Херсонської областi</t>
  </si>
  <si>
    <t>Бюджети районів Хмельницької області</t>
  </si>
  <si>
    <t>Бюджети районів Черкаської області</t>
  </si>
  <si>
    <t>Бюджети районів Чернівецької області</t>
  </si>
  <si>
    <t>Бюджети районів Чернігівської області</t>
  </si>
  <si>
    <t>04535000000</t>
  </si>
  <si>
    <t>Бюджет Дунаєвецької міської територіальної громади</t>
  </si>
  <si>
    <t>Районний бюджет Дністровського району</t>
  </si>
  <si>
    <t xml:space="preserve">Бюджет Підгайцівської сільської територіальної громади </t>
  </si>
  <si>
    <t>Бюджет Мартинівської сільської територіальної громади</t>
  </si>
  <si>
    <t>Бюджет Чечельницької селищної територіальної громади</t>
  </si>
  <si>
    <t>Бюджет Софіївської селищної територіальної громади</t>
  </si>
  <si>
    <t>Бюджет Маріупольської міської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</si>
  <si>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</si>
  <si>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</si>
  <si>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 xml:space="preserve">Бюджет Глевахівської селищної територіальної громади </t>
  </si>
  <si>
    <t>Бюджет Бродівської міської територіальної громади</t>
  </si>
  <si>
    <t>Бюджет Новобузької міської територіальної громади</t>
  </si>
  <si>
    <t>Бюджет Сатанівської селищної територіальної громади</t>
  </si>
  <si>
    <t>Бюджет Сахновецької сільської територіальної громади</t>
  </si>
  <si>
    <t>Бюджет Селятинської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</si>
  <si>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</si>
  <si>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</si>
  <si>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Куликівської селищної територіальної громади</t>
  </si>
  <si>
    <t>Бюджет Терпіннівської сільської територіальної громади</t>
  </si>
  <si>
    <t>Бюджет Поліської селищної територіальної громади</t>
  </si>
  <si>
    <t>Бюджет Борщагівської сільської територіальної громади</t>
  </si>
  <si>
    <t>Бюджет Саф'янівської сільської територіальної громади</t>
  </si>
  <si>
    <t>Бюджет Нижньосірогозької селищної територіальної громади</t>
  </si>
  <si>
    <t>Бюджет Шрамківської сільської територіальної громади</t>
  </si>
  <si>
    <t>Бюджет Південноміської міської територіальної громади</t>
  </si>
  <si>
    <t>Надходження 
ПДФО за 2020 рік 
(відрахування - 60%), 
(тис. грн)</t>
  </si>
  <si>
    <t>Розрахунок
горизонтального вирівнювання податкоспроможності бюджетів територіальних громад за надходженням податку на доходи фізичних осіб на 2022 рік</t>
  </si>
  <si>
    <t>Розрахунок 
горизонтального вирівнювання податкоспроможності обласних бюджетів за надходженням податку на доходи фізичних осіб на 2022 рік</t>
  </si>
  <si>
    <t>Надходження 
ПДФО за 
2020 рік 
(відрахування - 15%) (тис. грн)</t>
  </si>
  <si>
    <t>Розрахунок 
горизонтального вирівнювання податкоспроможності обласних бюджетів за надходженням податку на прибуток підприємств на 2022 рік</t>
  </si>
  <si>
    <t xml:space="preserve">Обсяг базової/реверсної дотацій на 2022 рік </t>
  </si>
  <si>
    <t>Чисельність наявного населення станом на 01.01.2021, 
(тис. чол)</t>
  </si>
  <si>
    <t>Кількість облікованих внутрішньо переміщених осіб станом на 01.01.2021,
(тис. чол)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</si>
  <si>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</si>
  <si>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</si>
  <si>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Томашпільської селищної територіальної громади</t>
  </si>
  <si>
    <t>Бюджет Бабчинецької сільської територіальної громади</t>
  </si>
  <si>
    <t>Бюджет Якушинецької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</si>
  <si>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</si>
  <si>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</si>
  <si>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</si>
  <si>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</si>
  <si>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</si>
  <si>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Літинської селищної територіальної громади</t>
  </si>
  <si>
    <t>Бюджет Жмеринської міської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</si>
  <si>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</si>
  <si>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</si>
  <si>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</si>
  <si>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</si>
  <si>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</si>
  <si>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</si>
  <si>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</si>
  <si>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</si>
  <si>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</si>
  <si>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</si>
  <si>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</si>
  <si>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</si>
  <si>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</si>
  <si>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Ковельської міської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</si>
  <si>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</si>
  <si>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</si>
  <si>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</si>
  <si>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</si>
  <si>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</si>
  <si>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</si>
  <si>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</si>
  <si>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</si>
  <si>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Зеленодольської міської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</si>
  <si>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</si>
  <si>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</si>
  <si>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</si>
  <si>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</si>
  <si>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</si>
  <si>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</si>
  <si>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</si>
  <si>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</si>
  <si>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</si>
  <si>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</si>
  <si>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Криничанської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</si>
  <si>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</si>
  <si>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</si>
  <si>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</si>
  <si>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</si>
  <si>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</si>
  <si>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</si>
  <si>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</si>
  <si>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</si>
  <si>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Новолатівської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</si>
  <si>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</si>
  <si>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</si>
  <si>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</si>
  <si>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Першотравневської сільської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</si>
  <si>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</si>
  <si>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</si>
  <si>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</si>
  <si>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Петриківської селищної територіальної громади</t>
  </si>
  <si>
    <t>Бюджет Зайцівської сільської територіальної громади</t>
  </si>
  <si>
    <t>Бюджет Раївської сільської територіальної громади</t>
  </si>
  <si>
    <t>Бюджет Іларіонівської селищної територіальної громади</t>
  </si>
  <si>
    <t>Бюджет Славгородської селищної територіальної громади</t>
  </si>
  <si>
    <t>Бюджет Карпівської сільської територіальної громади</t>
  </si>
  <si>
    <t>Бюджет Широківської селищної територіальної громади</t>
  </si>
  <si>
    <t>Бюджет Юр’ївської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</si>
  <si>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</si>
  <si>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</si>
  <si>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</si>
  <si>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</si>
  <si>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</si>
  <si>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</si>
  <si>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</si>
  <si>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Магдалинівської селищної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</si>
  <si>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</si>
  <si>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</si>
  <si>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</si>
  <si>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Кам'янської міської територіальної громади</t>
  </si>
  <si>
    <t>Бюджет Дніпровської міської територіальної громади</t>
  </si>
  <si>
    <t>Районний бюджет Бахмутського району</t>
  </si>
  <si>
    <t>Бюджет Лиманської міської територіальної громади</t>
  </si>
  <si>
    <t>Бюджет Шахівської сільської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</si>
  <si>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</si>
  <si>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</si>
  <si>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</si>
  <si>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</si>
  <si>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Андріївської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</si>
  <si>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</si>
  <si>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</si>
  <si>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Криворізької сільської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</si>
  <si>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</si>
  <si>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</si>
  <si>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</si>
  <si>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</si>
  <si>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</si>
  <si>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</si>
  <si>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</si>
  <si>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Стриївської сільської територіальної громади</t>
  </si>
  <si>
    <t>Бюджет Харитонівської сільської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</si>
  <si>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</si>
  <si>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</si>
  <si>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</si>
  <si>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</si>
  <si>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</si>
  <si>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</si>
  <si>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</si>
  <si>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</si>
  <si>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Оноківської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</si>
  <si>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</si>
  <si>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</si>
  <si>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</si>
  <si>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</si>
  <si>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</si>
  <si>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</si>
  <si>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</si>
  <si>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</si>
  <si>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</si>
  <si>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</si>
  <si>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</si>
  <si>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</si>
  <si>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</si>
  <si>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</si>
  <si>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</si>
  <si>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</si>
  <si>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Коломийської міської територіальної громади</t>
  </si>
  <si>
    <t>Бюджет Калуської міської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</si>
  <si>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</si>
  <si>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</si>
  <si>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</si>
  <si>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</si>
  <si>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</si>
  <si>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</si>
  <si>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Березанської міської територіальної громади</t>
  </si>
  <si>
    <t>Бюджет Бучанської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</si>
  <si>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</si>
  <si>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</si>
  <si>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</si>
  <si>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</si>
  <si>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</si>
  <si>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</si>
  <si>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Циблівської сільської територіальної громади</t>
  </si>
  <si>
    <t>Бюджет Зазимської сільської територіальної громади</t>
  </si>
  <si>
    <t>Бюджет Гребінківської селищної територіальної громади</t>
  </si>
  <si>
    <t>Бюджет Макарівської селищної територіальної громади</t>
  </si>
  <si>
    <t>Бюджет Маловільшанської сільської територіальної громади</t>
  </si>
  <si>
    <t>Бюджет Чабанівської селищної територіальної громади</t>
  </si>
  <si>
    <t>Районний бюджет Кропивницького району</t>
  </si>
  <si>
    <t>Районний бюджет Новоукраїнського району</t>
  </si>
  <si>
    <t>Бюджет Первозванівської сільської територіальної громади</t>
  </si>
  <si>
    <t>Бюджет Компаніївської селищної територіальної громади</t>
  </si>
  <si>
    <t>Бюджет Петрівської селищної територіальної громади</t>
  </si>
  <si>
    <t>Бюджет Глодоської сільської територіальної громади</t>
  </si>
  <si>
    <t>Бюджет Гурівської сільської територіальної громади</t>
  </si>
  <si>
    <t>Бюджет Злинської сільської територіальної громади</t>
  </si>
  <si>
    <t>Бюджет Надлацької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</si>
  <si>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</si>
  <si>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</si>
  <si>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</si>
  <si>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</si>
  <si>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</si>
  <si>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Гніздичівської селищної територіальної громади</t>
  </si>
  <si>
    <t>Бюджет Шегинівської сільської територіальної громади</t>
  </si>
  <si>
    <t>Бюджет Мурованської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</si>
  <si>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</si>
  <si>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</si>
  <si>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</si>
  <si>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</si>
  <si>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Добросинсько-Магерівської селищної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</si>
  <si>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</si>
  <si>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</si>
  <si>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Жидачівської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</si>
  <si>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</si>
  <si>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</si>
  <si>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</si>
  <si>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</si>
  <si>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</si>
  <si>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Оброшинської сільської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</si>
  <si>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</si>
  <si>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</si>
  <si>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</si>
  <si>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</si>
  <si>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</si>
  <si>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</si>
  <si>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</si>
  <si>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Вознесенської міської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</si>
  <si>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</si>
  <si>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</si>
  <si>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</si>
  <si>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</si>
  <si>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</si>
  <si>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</si>
  <si>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</si>
  <si>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</si>
  <si>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Мішково-Погорілівської сільської територіальної громади</t>
  </si>
  <si>
    <t>Бюджет Балтської міської територіальної громади</t>
  </si>
  <si>
    <t>Бюджет Біляївської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</si>
  <si>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</si>
  <si>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</si>
  <si>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</si>
  <si>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</si>
  <si>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Великоплосківської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</si>
  <si>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</si>
  <si>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</si>
  <si>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</si>
  <si>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</si>
  <si>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</si>
  <si>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</si>
  <si>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Лохвицької міської територіальної громади</t>
  </si>
  <si>
    <t>Бюджет Новогалещинської селищної територіальної громади</t>
  </si>
  <si>
    <t>Бюджет Чорнухинської селищної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</si>
  <si>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</si>
  <si>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</si>
  <si>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Новоселівської сільської територіальної громади</t>
  </si>
  <si>
    <t>Бюджет Великобудищанської сільської територіальної громади</t>
  </si>
  <si>
    <t>Бюджет Гоголівської селищної територіальної громади</t>
  </si>
  <si>
    <t>Бюджет Зіньківської міської територіальної громади</t>
  </si>
  <si>
    <t>Бюджет Новооржицької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</si>
  <si>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</si>
  <si>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</si>
  <si>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</si>
  <si>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Лютенської сільської територіальної громади</t>
  </si>
  <si>
    <t>Бюджет Млинівської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</si>
  <si>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</si>
  <si>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</si>
  <si>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</si>
  <si>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</si>
  <si>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</si>
  <si>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Великоомелянської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</si>
  <si>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</si>
  <si>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</si>
  <si>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</si>
  <si>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</si>
  <si>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</si>
  <si>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Семидубської сільської територіальної громади</t>
  </si>
  <si>
    <t>Бюджет Краснопільської селищної територіальної громади</t>
  </si>
  <si>
    <t>Бюджет Шосткинської міської територіальної громади</t>
  </si>
  <si>
    <t>Бюджет Сумської міської територіальної громади</t>
  </si>
  <si>
    <t>Бюджет Липоводолинської селищної територіальної громади</t>
  </si>
  <si>
    <t>Бюджет Річківської сільської територіальної громади</t>
  </si>
  <si>
    <t>Бюджет Конотопської міської територіальної громади</t>
  </si>
  <si>
    <t>Бюджет Білопільської міської територіальної громади</t>
  </si>
  <si>
    <t>Бюджет Синівської сільської територіальної громади</t>
  </si>
  <si>
    <t>Бюджет Охтирської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</si>
  <si>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</si>
  <si>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</si>
  <si>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</si>
  <si>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</si>
  <si>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</si>
  <si>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</si>
  <si>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</si>
  <si>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</si>
  <si>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Великобірківської селищної територіальної громади</t>
  </si>
  <si>
    <t>Бюджет Нараївської сільської територіальної громади</t>
  </si>
  <si>
    <t>Бюджет Чортківської міської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</si>
  <si>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</si>
  <si>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</si>
  <si>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</si>
  <si>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</si>
  <si>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</si>
  <si>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</si>
  <si>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</si>
  <si>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</si>
  <si>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</si>
  <si>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</si>
  <si>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</si>
  <si>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</si>
  <si>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</si>
  <si>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</si>
  <si>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</si>
  <si>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</si>
  <si>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</si>
  <si>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Славутської міської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</si>
  <si>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</si>
  <si>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</si>
  <si>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</si>
  <si>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Старокостянтинівської міської територіальної громади</t>
  </si>
  <si>
    <t>Бюджет Ротмістрівської сільської територіальної громади</t>
  </si>
  <si>
    <t>Бюджет Шполянської міської територіальної громади</t>
  </si>
  <si>
    <t>Бюджет Паланської сільської територіальної громади</t>
  </si>
  <si>
    <t>Бюджет Лип’янської сільської територіальної громади</t>
  </si>
  <si>
    <t>Бюджет Канівської міської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</si>
  <si>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</si>
  <si>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</si>
  <si>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</si>
  <si>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</si>
  <si>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Новодністровської міської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</si>
  <si>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</si>
  <si>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</si>
  <si>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</si>
  <si>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</si>
  <si>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Вертіївської сільської територіальної громади</t>
  </si>
  <si>
    <t>Бюджет Деснянської селищної територіальної громади</t>
  </si>
  <si>
    <t>Бюджет Корюківської міської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</si>
  <si>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</si>
  <si>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</si>
  <si>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</si>
  <si>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</si>
  <si>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</si>
  <si>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</si>
  <si>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</si>
  <si>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</si>
  <si>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Новобілоуської сільської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</si>
  <si>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</si>
  <si>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</si>
  <si>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Киселівської сільської територіальної громади</t>
  </si>
  <si>
    <t>Бюджет Понорницької селищної територіальної громади</t>
  </si>
  <si>
    <t>Бюджет Сухополов’янської сільської територіальної громади</t>
  </si>
  <si>
    <t>Бюджет Талалаївської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</si>
</sst>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4" formatCode="#,##0.0"/>
    <numFmt numFmtId="175" formatCode="#,##0.0000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00"/>
    <numFmt numFmtId="179" formatCode="0.000"/>
    <numFmt numFmtId="183" formatCode="#,##0.000000"/>
    <numFmt numFmtId="197" formatCode="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vertAlign val="superscript"/>
      <sz val="12"/>
      <color indexed="10"/>
      <name val="Times New Roman"/>
      <family val="1"/>
      <charset val="204"/>
    </font>
    <font>
      <b/>
      <vertAlign val="superscript"/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2"/>
      <name val="Verdana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7" fillId="0" borderId="0"/>
    <xf numFmtId="0" fontId="36" fillId="0" borderId="0"/>
    <xf numFmtId="0" fontId="4" fillId="0" borderId="0"/>
    <xf numFmtId="0" fontId="6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" applyNumberFormat="0" applyAlignment="0" applyProtection="0"/>
    <xf numFmtId="0" fontId="21" fillId="4" borderId="0" applyNumberFormat="0" applyBorder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6" fillId="0" borderId="0"/>
    <xf numFmtId="0" fontId="25" fillId="0" borderId="0"/>
    <xf numFmtId="0" fontId="8" fillId="0" borderId="0"/>
    <xf numFmtId="0" fontId="17" fillId="0" borderId="0"/>
    <xf numFmtId="0" fontId="35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5" applyNumberFormat="0" applyFill="0" applyAlignment="0" applyProtection="0"/>
    <xf numFmtId="0" fontId="27" fillId="20" borderId="6" applyNumberFormat="0" applyAlignment="0" applyProtection="0"/>
    <xf numFmtId="0" fontId="28" fillId="0" borderId="0" applyNumberFormat="0" applyFill="0" applyBorder="0" applyAlignment="0" applyProtection="0"/>
    <xf numFmtId="0" fontId="29" fillId="22" borderId="1" applyNumberFormat="0" applyAlignment="0" applyProtection="0"/>
    <xf numFmtId="0" fontId="38" fillId="0" borderId="0"/>
    <xf numFmtId="0" fontId="38" fillId="0" borderId="0"/>
    <xf numFmtId="0" fontId="6" fillId="0" borderId="0"/>
    <xf numFmtId="0" fontId="7" fillId="0" borderId="0"/>
    <xf numFmtId="0" fontId="1" fillId="0" borderId="0"/>
    <xf numFmtId="0" fontId="18" fillId="0" borderId="7" applyNumberFormat="0" applyFill="0" applyAlignment="0" applyProtection="0"/>
    <xf numFmtId="0" fontId="30" fillId="3" borderId="0" applyNumberFormat="0" applyBorder="0" applyAlignment="0" applyProtection="0"/>
    <xf numFmtId="0" fontId="17" fillId="23" borderId="8" applyNumberFormat="0" applyFont="0" applyAlignment="0" applyProtection="0"/>
    <xf numFmtId="0" fontId="31" fillId="22" borderId="9" applyNumberFormat="0" applyAlignment="0" applyProtection="0"/>
    <xf numFmtId="0" fontId="32" fillId="21" borderId="0" applyNumberFormat="0" applyBorder="0" applyAlignment="0" applyProtection="0"/>
    <xf numFmtId="0" fontId="7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</cellStyleXfs>
  <cellXfs count="113">
    <xf numFmtId="0" fontId="0" fillId="0" borderId="0" xfId="0"/>
    <xf numFmtId="0" fontId="39" fillId="0" borderId="0" xfId="0" applyFont="1"/>
    <xf numFmtId="0" fontId="40" fillId="0" borderId="0" xfId="0" applyFont="1"/>
    <xf numFmtId="0" fontId="41" fillId="0" borderId="0" xfId="0" applyFont="1"/>
    <xf numFmtId="174" fontId="0" fillId="0" borderId="0" xfId="0" applyNumberFormat="1"/>
    <xf numFmtId="174" fontId="2" fillId="0" borderId="10" xfId="0" applyNumberFormat="1" applyFont="1" applyFill="1" applyBorder="1" applyAlignment="1">
      <alignment vertical="center" wrapText="1"/>
    </xf>
    <xf numFmtId="0" fontId="39" fillId="0" borderId="0" xfId="0" applyFont="1" applyAlignment="1">
      <alignment vertical="center"/>
    </xf>
    <xf numFmtId="174" fontId="2" fillId="24" borderId="10" xfId="0" applyNumberFormat="1" applyFont="1" applyFill="1" applyBorder="1" applyAlignment="1">
      <alignment vertical="center" wrapText="1"/>
    </xf>
    <xf numFmtId="2" fontId="39" fillId="0" borderId="0" xfId="0" applyNumberFormat="1" applyFont="1"/>
    <xf numFmtId="0" fontId="42" fillId="0" borderId="0" xfId="0" applyFont="1" applyBorder="1" applyAlignment="1">
      <alignment horizontal="right"/>
    </xf>
    <xf numFmtId="0" fontId="9" fillId="25" borderId="10" xfId="22" applyFont="1" applyFill="1" applyBorder="1" applyAlignment="1">
      <alignment horizontal="center" vertical="center" textRotation="90" wrapText="1"/>
    </xf>
    <xf numFmtId="174" fontId="2" fillId="26" borderId="10" xfId="0" applyNumberFormat="1" applyFont="1" applyFill="1" applyBorder="1" applyAlignment="1">
      <alignment vertical="center" wrapText="1"/>
    </xf>
    <xf numFmtId="0" fontId="0" fillId="26" borderId="0" xfId="0" applyFill="1"/>
    <xf numFmtId="0" fontId="0" fillId="0" borderId="0" xfId="0" applyFill="1"/>
    <xf numFmtId="0" fontId="0" fillId="27" borderId="0" xfId="0" applyFill="1"/>
    <xf numFmtId="0" fontId="2" fillId="25" borderId="10" xfId="22" applyFont="1" applyFill="1" applyBorder="1" applyAlignment="1">
      <alignment horizontal="center" vertical="center" textRotation="90" wrapText="1"/>
    </xf>
    <xf numFmtId="0" fontId="3" fillId="25" borderId="10" xfId="21" applyFont="1" applyFill="1" applyBorder="1" applyAlignment="1">
      <alignment horizontal="center" vertical="center" wrapText="1"/>
    </xf>
    <xf numFmtId="174" fontId="2" fillId="26" borderId="10" xfId="0" applyNumberFormat="1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174" fontId="2" fillId="24" borderId="10" xfId="0" applyNumberFormat="1" applyFont="1" applyFill="1" applyBorder="1" applyAlignment="1">
      <alignment horizontal="center" vertical="center" wrapText="1"/>
    </xf>
    <xf numFmtId="174" fontId="2" fillId="24" borderId="10" xfId="0" applyNumberFormat="1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vertical="center" wrapText="1"/>
    </xf>
    <xf numFmtId="0" fontId="40" fillId="0" borderId="0" xfId="0" applyFont="1" applyFill="1"/>
    <xf numFmtId="0" fontId="39" fillId="0" borderId="0" xfId="0" applyFont="1" applyFill="1"/>
    <xf numFmtId="0" fontId="0" fillId="28" borderId="0" xfId="0" applyFill="1"/>
    <xf numFmtId="174" fontId="39" fillId="0" borderId="0" xfId="0" applyNumberFormat="1" applyFont="1"/>
    <xf numFmtId="0" fontId="43" fillId="0" borderId="0" xfId="0" applyFont="1"/>
    <xf numFmtId="0" fontId="43" fillId="26" borderId="0" xfId="0" applyFont="1" applyFill="1"/>
    <xf numFmtId="0" fontId="43" fillId="0" borderId="0" xfId="0" applyFont="1" applyFill="1"/>
    <xf numFmtId="0" fontId="43" fillId="28" borderId="0" xfId="0" applyFont="1" applyFill="1"/>
    <xf numFmtId="49" fontId="3" fillId="0" borderId="10" xfId="2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0" xfId="21" applyFont="1" applyFill="1" applyBorder="1" applyAlignment="1">
      <alignment horizontal="left" vertical="center" wrapText="1"/>
    </xf>
    <xf numFmtId="49" fontId="3" fillId="0" borderId="10" xfId="67" applyNumberFormat="1" applyFont="1" applyFill="1" applyBorder="1" applyAlignment="1">
      <alignment horizontal="center" vertical="center"/>
    </xf>
    <xf numFmtId="0" fontId="3" fillId="0" borderId="10" xfId="21" applyFont="1" applyFill="1" applyBorder="1" applyAlignment="1">
      <alignment horizontal="center" vertical="center"/>
    </xf>
    <xf numFmtId="49" fontId="3" fillId="0" borderId="10" xfId="21" applyNumberFormat="1" applyFont="1" applyFill="1" applyBorder="1" applyAlignment="1">
      <alignment horizontal="center" vertical="center"/>
    </xf>
    <xf numFmtId="3" fontId="2" fillId="26" borderId="10" xfId="0" applyNumberFormat="1" applyFont="1" applyFill="1" applyBorder="1" applyAlignment="1">
      <alignment horizontal="center" vertical="center" wrapText="1"/>
    </xf>
    <xf numFmtId="3" fontId="2" fillId="24" borderId="10" xfId="0" applyNumberFormat="1" applyFont="1" applyFill="1" applyBorder="1" applyAlignment="1">
      <alignment horizontal="center" vertical="center" wrapText="1"/>
    </xf>
    <xf numFmtId="0" fontId="3" fillId="0" borderId="10" xfId="67" applyFont="1" applyFill="1" applyBorder="1" applyAlignment="1">
      <alignment horizontal="center" vertical="center"/>
    </xf>
    <xf numFmtId="0" fontId="3" fillId="0" borderId="10" xfId="67" applyFont="1" applyFill="1" applyBorder="1" applyAlignment="1">
      <alignment horizontal="center" vertical="center" wrapText="1"/>
    </xf>
    <xf numFmtId="49" fontId="3" fillId="29" borderId="10" xfId="0" applyNumberFormat="1" applyFont="1" applyFill="1" applyBorder="1" applyAlignment="1">
      <alignment horizontal="center" vertical="center"/>
    </xf>
    <xf numFmtId="174" fontId="3" fillId="29" borderId="10" xfId="0" applyNumberFormat="1" applyFont="1" applyFill="1" applyBorder="1" applyAlignment="1">
      <alignment horizontal="center" vertical="center"/>
    </xf>
    <xf numFmtId="0" fontId="3" fillId="29" borderId="10" xfId="21" applyFont="1" applyFill="1" applyBorder="1" applyAlignment="1">
      <alignment horizontal="center" vertical="center" wrapText="1"/>
    </xf>
    <xf numFmtId="174" fontId="2" fillId="29" borderId="10" xfId="0" applyNumberFormat="1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174" fontId="3" fillId="0" borderId="10" xfId="0" applyNumberFormat="1" applyFont="1" applyFill="1" applyBorder="1" applyAlignment="1">
      <alignment horizontal="center" vertical="center"/>
    </xf>
    <xf numFmtId="174" fontId="2" fillId="29" borderId="10" xfId="0" applyNumberFormat="1" applyFont="1" applyFill="1" applyBorder="1" applyAlignment="1">
      <alignment horizontal="center" vertical="center" wrapText="1"/>
    </xf>
    <xf numFmtId="0" fontId="2" fillId="29" borderId="10" xfId="0" applyFont="1" applyFill="1" applyBorder="1" applyAlignment="1">
      <alignment horizontal="center" vertical="center"/>
    </xf>
    <xf numFmtId="174" fontId="41" fillId="29" borderId="10" xfId="0" applyNumberFormat="1" applyFont="1" applyFill="1" applyBorder="1" applyAlignment="1">
      <alignment vertical="center" wrapText="1"/>
    </xf>
    <xf numFmtId="174" fontId="41" fillId="0" borderId="10" xfId="0" applyNumberFormat="1" applyFont="1" applyFill="1" applyBorder="1" applyAlignment="1">
      <alignment vertical="center" wrapText="1"/>
    </xf>
    <xf numFmtId="0" fontId="3" fillId="0" borderId="10" xfId="68" applyFont="1" applyFill="1" applyBorder="1" applyAlignment="1">
      <alignment horizontal="left" vertical="center" wrapText="1"/>
    </xf>
    <xf numFmtId="174" fontId="3" fillId="0" borderId="10" xfId="68" applyNumberFormat="1" applyFont="1" applyFill="1" applyBorder="1" applyAlignment="1">
      <alignment horizontal="right" vertical="center" wrapText="1"/>
    </xf>
    <xf numFmtId="174" fontId="39" fillId="0" borderId="10" xfId="0" applyNumberFormat="1" applyFont="1" applyBorder="1" applyAlignment="1">
      <alignment vertical="center" wrapText="1"/>
    </xf>
    <xf numFmtId="174" fontId="3" fillId="0" borderId="10" xfId="68" applyNumberFormat="1" applyFont="1" applyFill="1" applyBorder="1" applyAlignment="1">
      <alignment horizontal="left" vertical="center" wrapText="1"/>
    </xf>
    <xf numFmtId="174" fontId="2" fillId="30" borderId="10" xfId="68" applyNumberFormat="1" applyFont="1" applyFill="1" applyBorder="1" applyAlignment="1">
      <alignment horizontal="center" vertical="center" wrapText="1"/>
    </xf>
    <xf numFmtId="174" fontId="39" fillId="0" borderId="10" xfId="0" applyNumberFormat="1" applyFont="1" applyFill="1" applyBorder="1" applyAlignment="1">
      <alignment vertical="center" wrapText="1"/>
    </xf>
    <xf numFmtId="174" fontId="2" fillId="0" borderId="10" xfId="68" applyNumberFormat="1" applyFont="1" applyFill="1" applyBorder="1" applyAlignment="1">
      <alignment horizontal="center" vertical="center" wrapText="1"/>
    </xf>
    <xf numFmtId="174" fontId="2" fillId="0" borderId="10" xfId="68" applyNumberFormat="1" applyFont="1" applyFill="1" applyBorder="1" applyAlignment="1">
      <alignment horizontal="left" vertical="center" wrapText="1"/>
    </xf>
    <xf numFmtId="174" fontId="2" fillId="0" borderId="10" xfId="0" applyNumberFormat="1" applyFont="1" applyFill="1" applyBorder="1" applyAlignment="1">
      <alignment horizontal="right" vertical="center" wrapText="1"/>
    </xf>
    <xf numFmtId="1" fontId="3" fillId="0" borderId="10" xfId="68" applyNumberFormat="1" applyFont="1" applyFill="1" applyBorder="1" applyAlignment="1">
      <alignment horizontal="center" vertical="center" wrapText="1"/>
    </xf>
    <xf numFmtId="0" fontId="2" fillId="30" borderId="10" xfId="68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vertical="center" wrapText="1"/>
    </xf>
    <xf numFmtId="0" fontId="2" fillId="0" borderId="10" xfId="68" applyFont="1" applyFill="1" applyBorder="1" applyAlignment="1">
      <alignment horizontal="center" vertical="center" wrapText="1"/>
    </xf>
    <xf numFmtId="0" fontId="2" fillId="0" borderId="10" xfId="68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9" fillId="0" borderId="10" xfId="0" applyNumberFormat="1" applyFont="1" applyBorder="1" applyAlignment="1">
      <alignment vertical="center" wrapText="1"/>
    </xf>
    <xf numFmtId="174" fontId="2" fillId="31" borderId="10" xfId="0" applyNumberFormat="1" applyFont="1" applyFill="1" applyBorder="1" applyAlignment="1">
      <alignment vertical="center" wrapText="1"/>
    </xf>
    <xf numFmtId="49" fontId="3" fillId="0" borderId="10" xfId="21" applyNumberFormat="1" applyFont="1" applyFill="1" applyBorder="1" applyAlignment="1">
      <alignment horizontal="left" vertical="center" wrapText="1"/>
    </xf>
    <xf numFmtId="1" fontId="3" fillId="0" borderId="10" xfId="67" applyNumberFormat="1" applyFont="1" applyFill="1" applyBorder="1" applyAlignment="1">
      <alignment horizontal="left" vertical="center" wrapText="1"/>
    </xf>
    <xf numFmtId="3" fontId="0" fillId="0" borderId="0" xfId="0" applyNumberFormat="1" applyAlignment="1">
      <alignment vertical="center" wrapText="1"/>
    </xf>
    <xf numFmtId="174" fontId="44" fillId="0" borderId="10" xfId="0" applyNumberFormat="1" applyFont="1" applyFill="1" applyBorder="1" applyAlignment="1">
      <alignment vertical="center" wrapText="1"/>
    </xf>
    <xf numFmtId="174" fontId="5" fillId="0" borderId="10" xfId="21" applyNumberFormat="1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74" fontId="3" fillId="0" borderId="10" xfId="0" applyNumberFormat="1" applyFont="1" applyFill="1" applyBorder="1" applyAlignment="1">
      <alignment horizontal="center" vertical="center" wrapText="1"/>
    </xf>
    <xf numFmtId="0" fontId="2" fillId="29" borderId="10" xfId="0" applyFont="1" applyFill="1" applyBorder="1" applyAlignment="1">
      <alignment horizontal="center" vertical="center" wrapText="1"/>
    </xf>
    <xf numFmtId="0" fontId="0" fillId="0" borderId="0" xfId="0"/>
    <xf numFmtId="174" fontId="2" fillId="0" borderId="10" xfId="0" applyNumberFormat="1" applyFont="1" applyFill="1" applyBorder="1" applyAlignment="1">
      <alignment vertical="center"/>
    </xf>
    <xf numFmtId="4" fontId="39" fillId="0" borderId="0" xfId="0" applyNumberFormat="1" applyFont="1"/>
    <xf numFmtId="174" fontId="0" fillId="0" borderId="0" xfId="0" applyNumberFormat="1" applyAlignment="1">
      <alignment vertical="center" wrapText="1"/>
    </xf>
    <xf numFmtId="0" fontId="3" fillId="0" borderId="10" xfId="21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vertical="center" wrapText="1"/>
    </xf>
    <xf numFmtId="174" fontId="3" fillId="0" borderId="10" xfId="0" applyNumberFormat="1" applyFont="1" applyFill="1" applyBorder="1" applyAlignment="1">
      <alignment horizontal="left" vertical="center"/>
    </xf>
    <xf numFmtId="1" fontId="3" fillId="0" borderId="10" xfId="67" applyNumberFormat="1" applyFont="1" applyFill="1" applyBorder="1" applyAlignment="1">
      <alignment horizontal="center" vertical="center" wrapText="1"/>
    </xf>
    <xf numFmtId="174" fontId="41" fillId="0" borderId="10" xfId="0" applyNumberFormat="1" applyFont="1" applyFill="1" applyBorder="1"/>
    <xf numFmtId="174" fontId="45" fillId="0" borderId="10" xfId="20" applyNumberFormat="1" applyFont="1" applyFill="1" applyBorder="1" applyAlignment="1">
      <alignment vertical="center" wrapText="1"/>
    </xf>
    <xf numFmtId="174" fontId="41" fillId="0" borderId="10" xfId="20" applyNumberFormat="1" applyFont="1" applyFill="1" applyBorder="1" applyAlignment="1">
      <alignment vertical="center" wrapText="1"/>
    </xf>
    <xf numFmtId="174" fontId="45" fillId="0" borderId="10" xfId="20" applyNumberFormat="1" applyFont="1" applyFill="1" applyBorder="1" applyAlignment="1">
      <alignment vertical="center" wrapText="1" readingOrder="1"/>
    </xf>
    <xf numFmtId="174" fontId="2" fillId="0" borderId="10" xfId="0" applyNumberFormat="1" applyFont="1" applyFill="1" applyBorder="1" applyAlignment="1">
      <alignment horizontal="right" vertical="center"/>
    </xf>
    <xf numFmtId="178" fontId="41" fillId="29" borderId="1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178" fontId="0" fillId="0" borderId="0" xfId="0" applyNumberFormat="1" applyAlignment="1">
      <alignment vertical="center" wrapText="1"/>
    </xf>
    <xf numFmtId="197" fontId="39" fillId="0" borderId="0" xfId="0" applyNumberFormat="1" applyFont="1"/>
    <xf numFmtId="4" fontId="41" fillId="29" borderId="10" xfId="0" applyNumberFormat="1" applyFont="1" applyFill="1" applyBorder="1" applyAlignment="1">
      <alignment vertical="center" wrapText="1"/>
    </xf>
    <xf numFmtId="183" fontId="41" fillId="29" borderId="10" xfId="0" applyNumberFormat="1" applyFont="1" applyFill="1" applyBorder="1" applyAlignment="1">
      <alignment vertical="center" wrapText="1"/>
    </xf>
    <xf numFmtId="175" fontId="2" fillId="0" borderId="10" xfId="0" applyNumberFormat="1" applyFont="1" applyFill="1" applyBorder="1" applyAlignment="1">
      <alignment vertical="center" wrapText="1"/>
    </xf>
    <xf numFmtId="174" fontId="43" fillId="0" borderId="0" xfId="0" applyNumberFormat="1" applyFont="1"/>
    <xf numFmtId="0" fontId="46" fillId="0" borderId="0" xfId="0" applyFont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41" fillId="0" borderId="12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9" fillId="25" borderId="10" xfId="22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79" fontId="41" fillId="0" borderId="11" xfId="0" applyNumberFormat="1" applyFont="1" applyFill="1" applyBorder="1" applyAlignment="1">
      <alignment horizontal="center" vertical="center" wrapText="1"/>
    </xf>
    <xf numFmtId="179" fontId="41" fillId="0" borderId="12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2" fillId="25" borderId="13" xfId="22" applyFont="1" applyFill="1" applyBorder="1" applyAlignment="1">
      <alignment horizontal="center" vertical="center" wrapText="1"/>
    </xf>
    <xf numFmtId="0" fontId="2" fillId="25" borderId="14" xfId="22" applyFont="1" applyFill="1" applyBorder="1" applyAlignment="1">
      <alignment horizontal="center" vertical="center" wrapText="1"/>
    </xf>
    <xf numFmtId="0" fontId="2" fillId="25" borderId="10" xfId="22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7" fillId="0" borderId="0" xfId="0" applyFont="1" applyAlignment="1">
      <alignment horizontal="center"/>
    </xf>
  </cellXfs>
  <cellStyles count="79">
    <cellStyle name="20% – Акцентування1 2" xfId="1"/>
    <cellStyle name="20% – Акцентування2 2" xfId="2"/>
    <cellStyle name="20% – Акцентування3 2" xfId="3"/>
    <cellStyle name="20% – Акцентування4 2" xfId="4"/>
    <cellStyle name="20% – Акцентування5 2" xfId="5"/>
    <cellStyle name="20% – Акцентування6 2" xfId="6"/>
    <cellStyle name="40% – Акцентування1 2" xfId="7"/>
    <cellStyle name="40% – Акцентування2 2" xfId="8"/>
    <cellStyle name="40% – Акцентування3 2" xfId="9"/>
    <cellStyle name="40% – Акцентування4 2" xfId="10"/>
    <cellStyle name="40% – Акцентування5 2" xfId="11"/>
    <cellStyle name="40% – Акцентування6 2" xfId="12"/>
    <cellStyle name="60% – Акцентування1 2" xfId="13"/>
    <cellStyle name="60% – Акцентування2 2" xfId="14"/>
    <cellStyle name="60% – Акцентування3 2" xfId="15"/>
    <cellStyle name="60% – Акцентування4 2" xfId="16"/>
    <cellStyle name="60% – Акцентування5 2" xfId="17"/>
    <cellStyle name="60% – Акцентування6 2" xfId="18"/>
    <cellStyle name="Excel Built-in Normal" xfId="19"/>
    <cellStyle name="Normal" xfId="20"/>
    <cellStyle name="Normal_Доходи" xfId="21"/>
    <cellStyle name="Normalny 2 2" xfId="22"/>
    <cellStyle name="Акцентування1 2" xfId="23"/>
    <cellStyle name="Акцентування2 2" xfId="24"/>
    <cellStyle name="Акцентування3 2" xfId="25"/>
    <cellStyle name="Акцентування4 2" xfId="26"/>
    <cellStyle name="Акцентування5 2" xfId="27"/>
    <cellStyle name="Акцентування6 2" xfId="28"/>
    <cellStyle name="Ввід 2" xfId="29"/>
    <cellStyle name="Добре" xfId="30"/>
    <cellStyle name="Заголовок 1 2" xfId="31"/>
    <cellStyle name="Заголовок 2 2" xfId="32"/>
    <cellStyle name="Заголовок 3 2" xfId="33"/>
    <cellStyle name="Заголовок 4 2" xfId="34"/>
    <cellStyle name="Звичайний" xfId="0" builtinId="0"/>
    <cellStyle name="Звичайний 10" xfId="35"/>
    <cellStyle name="Звичайний 11" xfId="36"/>
    <cellStyle name="Звичайний 12" xfId="37"/>
    <cellStyle name="Звичайний 13" xfId="38"/>
    <cellStyle name="Звичайний 14" xfId="39"/>
    <cellStyle name="Звичайний 15" xfId="40"/>
    <cellStyle name="Звичайний 16" xfId="41"/>
    <cellStyle name="Звичайний 17" xfId="42"/>
    <cellStyle name="Звичайний 18" xfId="43"/>
    <cellStyle name="Звичайний 19" xfId="44"/>
    <cellStyle name="Звичайний 2" xfId="45"/>
    <cellStyle name="Звичайний 2 2" xfId="46"/>
    <cellStyle name="Звичайний 2 3" xfId="47"/>
    <cellStyle name="Звичайний 20" xfId="48"/>
    <cellStyle name="Звичайний 21" xfId="49"/>
    <cellStyle name="Звичайний 22" xfId="50"/>
    <cellStyle name="Звичайний 23" xfId="51"/>
    <cellStyle name="Звичайний 3" xfId="52"/>
    <cellStyle name="Звичайний 4" xfId="53"/>
    <cellStyle name="Звичайний 4 2" xfId="54"/>
    <cellStyle name="Звичайний 5" xfId="55"/>
    <cellStyle name="Звичайний 6" xfId="56"/>
    <cellStyle name="Звичайний 7" xfId="57"/>
    <cellStyle name="Звичайний 8" xfId="58"/>
    <cellStyle name="Звичайний 9" xfId="59"/>
    <cellStyle name="Зв'язана клітинка 2" xfId="60"/>
    <cellStyle name="Контрольна клітинка 2" xfId="61"/>
    <cellStyle name="Назва 2" xfId="62"/>
    <cellStyle name="Обчислення 2" xfId="63"/>
    <cellStyle name="Обычный 2" xfId="64"/>
    <cellStyle name="Обычный 3" xfId="65"/>
    <cellStyle name="Обычный_Додаток 1" xfId="66"/>
    <cellStyle name="Обычный_Лист1" xfId="67"/>
    <cellStyle name="Обычный_Надра" xfId="68"/>
    <cellStyle name="Підсумок 2" xfId="69"/>
    <cellStyle name="Поганий 2" xfId="70"/>
    <cellStyle name="Примітка 2" xfId="71"/>
    <cellStyle name="Результат 2" xfId="72"/>
    <cellStyle name="Середній" xfId="73"/>
    <cellStyle name="Стиль 1" xfId="74"/>
    <cellStyle name="Текст попередження 2" xfId="75"/>
    <cellStyle name="Текст пояснення 2" xfId="76"/>
    <cellStyle name="Фінансовий 2" xfId="77"/>
    <cellStyle name="Фінансовий 2 2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3"/>
  <sheetViews>
    <sheetView showZeros="0" zoomScale="70" zoomScaleNormal="70" workbookViewId="0">
      <selection activeCell="I32" sqref="I32:J39"/>
    </sheetView>
  </sheetViews>
  <sheetFormatPr defaultRowHeight="15.75" x14ac:dyDescent="0.25"/>
  <cols>
    <col min="1" max="1" width="5.85546875" style="1" customWidth="1"/>
    <col min="2" max="2" width="46.85546875" style="1" bestFit="1" customWidth="1"/>
    <col min="3" max="3" width="19" style="1" customWidth="1"/>
    <col min="4" max="4" width="20" style="1" customWidth="1"/>
    <col min="5" max="5" width="18.28515625" style="1" customWidth="1"/>
    <col min="6" max="6" width="25.28515625" style="1" customWidth="1"/>
    <col min="7" max="7" width="22.42578125" style="1" customWidth="1"/>
    <col min="8" max="8" width="21.7109375" style="1" customWidth="1"/>
    <col min="9" max="9" width="15.140625" style="1" customWidth="1"/>
    <col min="10" max="10" width="17.7109375" style="1" customWidth="1"/>
    <col min="11" max="11" width="17" style="1" customWidth="1"/>
    <col min="12" max="12" width="20.5703125" style="1" customWidth="1"/>
    <col min="13" max="13" width="15" style="1" customWidth="1"/>
    <col min="14" max="14" width="16.7109375" style="1" customWidth="1"/>
    <col min="15" max="16384" width="9.140625" style="1"/>
  </cols>
  <sheetData>
    <row r="1" spans="1:14" s="6" customFormat="1" ht="36.75" customHeight="1" x14ac:dyDescent="0.25">
      <c r="A1" s="96" t="s">
        <v>2849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4" ht="18.75" x14ac:dyDescent="0.3">
      <c r="F2" s="22"/>
      <c r="G2" s="2"/>
    </row>
    <row r="3" spans="1:14" s="3" customFormat="1" ht="93" customHeight="1" x14ac:dyDescent="0.25">
      <c r="A3" s="54" t="s">
        <v>0</v>
      </c>
      <c r="B3" s="54" t="s">
        <v>1</v>
      </c>
      <c r="C3" s="54" t="s">
        <v>2851</v>
      </c>
      <c r="D3" s="54" t="s">
        <v>1005</v>
      </c>
      <c r="E3" s="54" t="s">
        <v>1006</v>
      </c>
      <c r="F3" s="54" t="s">
        <v>1011</v>
      </c>
      <c r="G3" s="54" t="s">
        <v>1007</v>
      </c>
      <c r="H3" s="54" t="s">
        <v>1018</v>
      </c>
      <c r="I3" s="54" t="s">
        <v>1013</v>
      </c>
      <c r="J3" s="54" t="s">
        <v>296</v>
      </c>
      <c r="K3" s="54" t="s">
        <v>1012</v>
      </c>
      <c r="L3" s="54" t="s">
        <v>1010</v>
      </c>
    </row>
    <row r="4" spans="1:14" ht="27" customHeight="1" x14ac:dyDescent="0.25">
      <c r="A4" s="59">
        <v>1</v>
      </c>
      <c r="B4" s="53" t="s">
        <v>837</v>
      </c>
      <c r="C4" s="51">
        <v>1529.123</v>
      </c>
      <c r="D4" s="51">
        <v>11.276999999999999</v>
      </c>
      <c r="E4" s="52">
        <f>D4+C4</f>
        <v>1540.4</v>
      </c>
      <c r="F4" s="52">
        <v>135939.39173</v>
      </c>
      <c r="G4" s="52">
        <f>(-106.59-451.723-134-218.46782-71.89686-219.974-28.325-24.22679-16.007-16-12.211-11.899-39.31-39-60-23.318-12.098-10.821+14.1)*0.1</f>
        <v>-148.17674699999998</v>
      </c>
      <c r="H4" s="52">
        <f>F4+G4</f>
        <v>135791.21498300001</v>
      </c>
      <c r="I4" s="65">
        <f t="shared" ref="I4:I27" si="0">H4/E4</f>
        <v>88.153216685925742</v>
      </c>
      <c r="J4" s="52">
        <f>I4/$I$29</f>
        <v>0.75132610303440217</v>
      </c>
      <c r="K4" s="55">
        <f>ROUND(IF(J4&lt;1.1,0,(I4-($I$29*1.1))*0.5)*E4,1)</f>
        <v>0</v>
      </c>
      <c r="L4" s="52">
        <f>ROUND(IF(J4&gt;0.9,0,(($I$29*0.9)-I4)*0.8)*E4,1)</f>
        <v>21496.5</v>
      </c>
      <c r="M4" s="25"/>
    </row>
    <row r="5" spans="1:14" ht="27" customHeight="1" x14ac:dyDescent="0.25">
      <c r="A5" s="59">
        <v>2</v>
      </c>
      <c r="B5" s="53" t="s">
        <v>838</v>
      </c>
      <c r="C5" s="51">
        <v>1027.3970000000002</v>
      </c>
      <c r="D5" s="51">
        <v>3.1240000000000001</v>
      </c>
      <c r="E5" s="52">
        <f t="shared" ref="E5:E28" si="1">D5+C5</f>
        <v>1030.5210000000002</v>
      </c>
      <c r="F5" s="52">
        <v>62173.772109999998</v>
      </c>
      <c r="G5" s="52">
        <f>(9.498)*0.1</f>
        <v>0.94979999999999998</v>
      </c>
      <c r="H5" s="52">
        <f t="shared" ref="H5:H27" si="2">F5+G5</f>
        <v>62174.72191</v>
      </c>
      <c r="I5" s="65">
        <f t="shared" si="0"/>
        <v>60.333289578766461</v>
      </c>
      <c r="J5" s="52">
        <f t="shared" ref="J5:J27" si="3">I5/$I$29</f>
        <v>0.51421805178095048</v>
      </c>
      <c r="K5" s="55">
        <f t="shared" ref="K5:K27" si="4">ROUND(IF(J5&lt;1.1,0,(I5-($I$29*1.1))*0.5)*E5,1)</f>
        <v>0</v>
      </c>
      <c r="L5" s="52">
        <f t="shared" ref="L5:L27" si="5">ROUND(IF(J5&gt;0.9,0,(($I$29*0.9)-I5)*0.8)*E5,1)</f>
        <v>37316.300000000003</v>
      </c>
      <c r="M5" s="25"/>
    </row>
    <row r="6" spans="1:14" ht="27" customHeight="1" x14ac:dyDescent="0.25">
      <c r="A6" s="59">
        <v>3</v>
      </c>
      <c r="B6" s="53" t="s">
        <v>839</v>
      </c>
      <c r="C6" s="51">
        <v>3142.0350000000003</v>
      </c>
      <c r="D6" s="51">
        <v>71.623999999999995</v>
      </c>
      <c r="E6" s="52">
        <f t="shared" si="1"/>
        <v>3213.6590000000001</v>
      </c>
      <c r="F6" s="52">
        <v>1268083.3629999999</v>
      </c>
      <c r="G6" s="52">
        <f>(663.201-12.975-686.16-38.333-184.32-247.26-429.867-1432.533-10.7-11.65-12-15.933-20.1-21.33-33.147-48.134-68.447-73.587-75.95-118.129-150-154-1856.336-13.682-28.112-37.172-47.415-250-544.101-37.903-71.6-14.494-14.576-15.03-72.461-205.461-170.689-560.559-596.732-742.32-900.822-37.023-213.1-361.806-26.986-47.387-104.951-819.07-12130.794-759.056-17254.406-3349.189+100-11.5-42.498-62.3-150-507.28-1650.946-3113.492+414.401)*0.1</f>
        <v>-4948.820200000001</v>
      </c>
      <c r="H6" s="52">
        <f t="shared" si="2"/>
        <v>1263134.5427999999</v>
      </c>
      <c r="I6" s="65">
        <f t="shared" si="0"/>
        <v>393.05182746520398</v>
      </c>
      <c r="J6" s="52">
        <f t="shared" si="3"/>
        <v>3.3499639482484156</v>
      </c>
      <c r="K6" s="55">
        <f t="shared" si="4"/>
        <v>424184.7</v>
      </c>
      <c r="L6" s="52">
        <f t="shared" si="5"/>
        <v>0</v>
      </c>
      <c r="M6" s="25"/>
    </row>
    <row r="7" spans="1:14" ht="27" customHeight="1" x14ac:dyDescent="0.25">
      <c r="A7" s="59">
        <v>4</v>
      </c>
      <c r="B7" s="53" t="s">
        <v>840</v>
      </c>
      <c r="C7" s="51">
        <v>1823.796</v>
      </c>
      <c r="D7" s="51">
        <v>499.99100000000004</v>
      </c>
      <c r="E7" s="52">
        <f t="shared" si="1"/>
        <v>2323.7870000000003</v>
      </c>
      <c r="F7" s="52">
        <v>192798.47500000001</v>
      </c>
      <c r="G7" s="52">
        <f>(-1697.721-3517.816-136.432-194.285-96.258-411.023-21.413+260.609+1994.7+3.175+204.866+39.31+39+46.24+42.889+33.82+389.2+92.691-477.769)*0.1</f>
        <v>-340.62169999999998</v>
      </c>
      <c r="H7" s="52">
        <f t="shared" si="2"/>
        <v>192457.85330000002</v>
      </c>
      <c r="I7" s="65">
        <f t="shared" si="0"/>
        <v>82.820780605107089</v>
      </c>
      <c r="J7" s="52">
        <f t="shared" si="3"/>
        <v>0.70587797793018037</v>
      </c>
      <c r="K7" s="55">
        <f t="shared" si="4"/>
        <v>0</v>
      </c>
      <c r="L7" s="52">
        <f t="shared" si="5"/>
        <v>42341.9</v>
      </c>
      <c r="M7" s="25"/>
    </row>
    <row r="8" spans="1:14" ht="27" customHeight="1" x14ac:dyDescent="0.25">
      <c r="A8" s="59">
        <v>5</v>
      </c>
      <c r="B8" s="53" t="s">
        <v>842</v>
      </c>
      <c r="C8" s="51">
        <v>1195.4949999999997</v>
      </c>
      <c r="D8" s="51">
        <v>7.0559999999999983</v>
      </c>
      <c r="E8" s="52">
        <f t="shared" si="1"/>
        <v>1202.5509999999997</v>
      </c>
      <c r="F8" s="52">
        <v>64956.233</v>
      </c>
      <c r="G8" s="52">
        <f>(-438.283-71.01-584.152-100-55.781-524.057-144.822-76.828+19.161+15.48+12.975+686.16+16)*0.1</f>
        <v>-124.51570000000002</v>
      </c>
      <c r="H8" s="52">
        <f t="shared" si="2"/>
        <v>64831.717299999997</v>
      </c>
      <c r="I8" s="65">
        <f t="shared" si="0"/>
        <v>53.911823531808643</v>
      </c>
      <c r="J8" s="52">
        <f t="shared" si="3"/>
        <v>0.45948817076007076</v>
      </c>
      <c r="K8" s="55">
        <f t="shared" si="4"/>
        <v>0</v>
      </c>
      <c r="L8" s="52">
        <f t="shared" si="5"/>
        <v>49723.4</v>
      </c>
      <c r="M8" s="25"/>
    </row>
    <row r="9" spans="1:14" ht="27" customHeight="1" x14ac:dyDescent="0.25">
      <c r="A9" s="59">
        <v>6</v>
      </c>
      <c r="B9" s="53" t="s">
        <v>844</v>
      </c>
      <c r="C9" s="51">
        <v>1250.1289999999995</v>
      </c>
      <c r="D9" s="51">
        <v>3.3779999999999983</v>
      </c>
      <c r="E9" s="52">
        <f t="shared" si="1"/>
        <v>1253.5069999999994</v>
      </c>
      <c r="F9" s="52">
        <v>46574.134770000004</v>
      </c>
      <c r="G9" s="52">
        <f>(-0.5+61.371+39.5+95.951+213.1+361.806-27.3-10.1-234)*0.1</f>
        <v>49.982800000000012</v>
      </c>
      <c r="H9" s="52">
        <f t="shared" si="2"/>
        <v>46624.117570000002</v>
      </c>
      <c r="I9" s="65">
        <f t="shared" si="0"/>
        <v>37.19493993252533</v>
      </c>
      <c r="J9" s="52">
        <f t="shared" si="3"/>
        <v>0.3170108853959111</v>
      </c>
      <c r="K9" s="55">
        <f t="shared" si="4"/>
        <v>0</v>
      </c>
      <c r="L9" s="52">
        <f t="shared" si="5"/>
        <v>68594.100000000006</v>
      </c>
      <c r="M9" s="25"/>
    </row>
    <row r="10" spans="1:14" ht="27" customHeight="1" x14ac:dyDescent="0.25">
      <c r="A10" s="59">
        <v>7</v>
      </c>
      <c r="B10" s="53" t="s">
        <v>845</v>
      </c>
      <c r="C10" s="51">
        <v>1666.5149999999999</v>
      </c>
      <c r="D10" s="51">
        <v>56.658999999999999</v>
      </c>
      <c r="E10" s="52">
        <f t="shared" si="1"/>
        <v>1723.174</v>
      </c>
      <c r="F10" s="52">
        <v>191539.704</v>
      </c>
      <c r="G10" s="52">
        <f>(-310.54-256.027-50.976-166.416+529.6+33.908+5.6+11.776-78.523-1306.044+11.1-1322.824+3349.189-46.24-42.889-33.82+477.769-414.401)*0.1</f>
        <v>39.024199999999979</v>
      </c>
      <c r="H10" s="52">
        <f t="shared" si="2"/>
        <v>191578.72820000001</v>
      </c>
      <c r="I10" s="65">
        <f t="shared" si="0"/>
        <v>111.17781965141072</v>
      </c>
      <c r="J10" s="52">
        <f t="shared" si="3"/>
        <v>0.94756381131458178</v>
      </c>
      <c r="K10" s="55">
        <f t="shared" si="4"/>
        <v>0</v>
      </c>
      <c r="L10" s="52">
        <f t="shared" si="5"/>
        <v>0</v>
      </c>
      <c r="M10" s="25"/>
      <c r="N10" s="91"/>
    </row>
    <row r="11" spans="1:14" ht="27" customHeight="1" x14ac:dyDescent="0.25">
      <c r="A11" s="59">
        <v>8</v>
      </c>
      <c r="B11" s="53" t="s">
        <v>846</v>
      </c>
      <c r="C11" s="51">
        <v>1361.1089999999997</v>
      </c>
      <c r="D11" s="51">
        <v>3.9539999999999993</v>
      </c>
      <c r="E11" s="52">
        <f t="shared" si="1"/>
        <v>1365.0629999999996</v>
      </c>
      <c r="F11" s="52">
        <v>83258.176999999996</v>
      </c>
      <c r="G11" s="52">
        <f>(96.258-1161.01601-260.609-2435.73451-652.128-17.435+57.958+38.333+184.32+247.26+429.867+1432.533+127.4)*0.1</f>
        <v>-191.29935200000011</v>
      </c>
      <c r="H11" s="52">
        <f t="shared" si="2"/>
        <v>83066.877647999994</v>
      </c>
      <c r="I11" s="65">
        <f t="shared" si="0"/>
        <v>60.852046863771136</v>
      </c>
      <c r="J11" s="52">
        <f t="shared" si="3"/>
        <v>0.51863939797812786</v>
      </c>
      <c r="K11" s="55">
        <f t="shared" si="4"/>
        <v>0</v>
      </c>
      <c r="L11" s="52">
        <f t="shared" si="5"/>
        <v>48863.9</v>
      </c>
      <c r="M11" s="25"/>
    </row>
    <row r="12" spans="1:14" ht="27" customHeight="1" x14ac:dyDescent="0.25">
      <c r="A12" s="59">
        <v>9</v>
      </c>
      <c r="B12" s="53" t="s">
        <v>847</v>
      </c>
      <c r="C12" s="51">
        <v>1788.5299999999997</v>
      </c>
      <c r="D12" s="51">
        <v>67.485000000000014</v>
      </c>
      <c r="E12" s="52">
        <f t="shared" si="1"/>
        <v>1856.0149999999999</v>
      </c>
      <c r="F12" s="52">
        <v>366792.03720999998</v>
      </c>
      <c r="G12" s="52">
        <f>(21.413+76.828+17.435+20.141+204.162+56+49+17254.406+1322.824+327.6+60+23.318+12.098+10.821+17.943-4560.43083-11.327-3.049-1536.942-14.1-132.485-13.225)*0.1</f>
        <v>1320.2430169999998</v>
      </c>
      <c r="H12" s="52">
        <f t="shared" si="2"/>
        <v>368112.28022699995</v>
      </c>
      <c r="I12" s="65">
        <f t="shared" si="0"/>
        <v>198.33475495995452</v>
      </c>
      <c r="J12" s="52">
        <f t="shared" si="3"/>
        <v>1.6903986506953728</v>
      </c>
      <c r="K12" s="55">
        <f t="shared" si="4"/>
        <v>64284.5</v>
      </c>
      <c r="L12" s="52">
        <f t="shared" si="5"/>
        <v>0</v>
      </c>
      <c r="M12" s="25"/>
    </row>
    <row r="13" spans="1:14" ht="27" customHeight="1" x14ac:dyDescent="0.25">
      <c r="A13" s="59">
        <v>10</v>
      </c>
      <c r="B13" s="53" t="s">
        <v>848</v>
      </c>
      <c r="C13" s="51">
        <v>920.12800000000016</v>
      </c>
      <c r="D13" s="51">
        <v>6.5809999999999986</v>
      </c>
      <c r="E13" s="52">
        <f t="shared" si="1"/>
        <v>926.70900000000017</v>
      </c>
      <c r="F13" s="52">
        <v>47635.4</v>
      </c>
      <c r="G13" s="52">
        <f>(136.432-1994.7-2205-122-273.2-115.1+2.398+49.547+107.1+0.46+10.7+11.65+12+15.933+20.1+21.33+33.147+48.134+68.447+73.587+75.95+118.129+150+154+1856.336+30-1591.4-140+13.225)*0.1</f>
        <v>-343.2795000000001</v>
      </c>
      <c r="H13" s="52">
        <f t="shared" si="2"/>
        <v>47292.120500000005</v>
      </c>
      <c r="I13" s="65">
        <f t="shared" si="0"/>
        <v>51.03233107696159</v>
      </c>
      <c r="J13" s="52">
        <f t="shared" si="3"/>
        <v>0.43494637947722803</v>
      </c>
      <c r="K13" s="55">
        <f t="shared" si="4"/>
        <v>0</v>
      </c>
      <c r="L13" s="52">
        <f t="shared" si="5"/>
        <v>40452.6</v>
      </c>
      <c r="M13" s="25"/>
    </row>
    <row r="14" spans="1:14" ht="27" customHeight="1" x14ac:dyDescent="0.25">
      <c r="A14" s="59">
        <v>11</v>
      </c>
      <c r="B14" s="53" t="s">
        <v>849</v>
      </c>
      <c r="C14" s="51">
        <v>652.67600000000004</v>
      </c>
      <c r="D14" s="51">
        <v>283.59699999999998</v>
      </c>
      <c r="E14" s="52">
        <f t="shared" si="1"/>
        <v>936.27300000000002</v>
      </c>
      <c r="F14" s="52">
        <v>30901.671999999999</v>
      </c>
      <c r="G14" s="52">
        <f>(-20.141-27.909-120.284-41.27-125.845-61.371+40.72+36.992)*0.1</f>
        <v>-31.910800000000002</v>
      </c>
      <c r="H14" s="52">
        <f t="shared" si="2"/>
        <v>30869.761199999997</v>
      </c>
      <c r="I14" s="65">
        <f t="shared" si="0"/>
        <v>32.970897590766789</v>
      </c>
      <c r="J14" s="52">
        <f t="shared" si="3"/>
        <v>0.28100955281841883</v>
      </c>
      <c r="K14" s="55">
        <f t="shared" si="4"/>
        <v>0</v>
      </c>
      <c r="L14" s="52">
        <f t="shared" si="5"/>
        <v>54398.400000000001</v>
      </c>
      <c r="M14" s="25"/>
    </row>
    <row r="15" spans="1:14" ht="27" customHeight="1" x14ac:dyDescent="0.25">
      <c r="A15" s="59">
        <v>12</v>
      </c>
      <c r="B15" s="53" t="s">
        <v>851</v>
      </c>
      <c r="C15" s="51">
        <v>2497.7500000000005</v>
      </c>
      <c r="D15" s="51">
        <v>11.472</v>
      </c>
      <c r="E15" s="52">
        <f t="shared" si="1"/>
        <v>2509.2220000000007</v>
      </c>
      <c r="F15" s="52">
        <v>280899.01964999997</v>
      </c>
      <c r="G15" s="52">
        <f>(106.59+652.128-5453.9-529.6-3924.4-555.1-493.6-283.1+14.1-389.2)*0.1</f>
        <v>-1085.6082000000004</v>
      </c>
      <c r="H15" s="52">
        <f t="shared" si="2"/>
        <v>279813.41144999996</v>
      </c>
      <c r="I15" s="65">
        <f t="shared" si="0"/>
        <v>111.51401169366436</v>
      </c>
      <c r="J15" s="52">
        <f t="shared" si="3"/>
        <v>0.95042916174050607</v>
      </c>
      <c r="K15" s="55">
        <f t="shared" si="4"/>
        <v>0</v>
      </c>
      <c r="L15" s="52">
        <f t="shared" si="5"/>
        <v>0</v>
      </c>
      <c r="M15" s="25"/>
    </row>
    <row r="16" spans="1:14" ht="27" customHeight="1" x14ac:dyDescent="0.25">
      <c r="A16" s="59">
        <v>13</v>
      </c>
      <c r="B16" s="53" t="s">
        <v>852</v>
      </c>
      <c r="C16" s="51">
        <v>1108.3939999999998</v>
      </c>
      <c r="D16" s="51">
        <v>8.3129999999999988</v>
      </c>
      <c r="E16" s="52">
        <f t="shared" si="1"/>
        <v>1116.7069999999999</v>
      </c>
      <c r="F16" s="52">
        <v>113337.1434</v>
      </c>
      <c r="G16" s="52">
        <f>(166.416+3924.4-1844.783-3.175-520.032-204.162-27.44-1728.763-102.063-2.398-39.5-33.908+10.782+6.5+201+3.16+13.682+28.112+37.172+47.415+250+544.101+239.1+132.485)*0.1</f>
        <v>109.81010000000002</v>
      </c>
      <c r="H16" s="52">
        <f t="shared" si="2"/>
        <v>113446.9535</v>
      </c>
      <c r="I16" s="65">
        <f t="shared" si="0"/>
        <v>101.5906173239713</v>
      </c>
      <c r="J16" s="52">
        <f t="shared" si="3"/>
        <v>0.86585249510316298</v>
      </c>
      <c r="K16" s="55">
        <f t="shared" si="4"/>
        <v>0</v>
      </c>
      <c r="L16" s="52">
        <f t="shared" si="5"/>
        <v>3579.3</v>
      </c>
      <c r="M16" s="25"/>
    </row>
    <row r="17" spans="1:13" ht="27" customHeight="1" x14ac:dyDescent="0.25">
      <c r="A17" s="59">
        <v>14</v>
      </c>
      <c r="B17" s="53" t="s">
        <v>853</v>
      </c>
      <c r="C17" s="51">
        <v>2368.107</v>
      </c>
      <c r="D17" s="51">
        <v>38.942999999999998</v>
      </c>
      <c r="E17" s="52">
        <f t="shared" si="1"/>
        <v>2407.0500000000002</v>
      </c>
      <c r="F17" s="52">
        <v>278952.99670999998</v>
      </c>
      <c r="G17" s="52">
        <f>(451.723+134+411.023+0.5+555.1+1844.783+132.347+1.1+133.079+56.844+79.1+1.48+78.523-2394.8-11.1-127.4-30-239.1-15.1-100-395-27+759.056+140+0.9)*0.1</f>
        <v>144.00580000000005</v>
      </c>
      <c r="H17" s="52">
        <f t="shared" si="2"/>
        <v>279097.00250999996</v>
      </c>
      <c r="I17" s="65">
        <f t="shared" si="0"/>
        <v>115.94981513055397</v>
      </c>
      <c r="J17" s="52">
        <f t="shared" si="3"/>
        <v>0.98823532509287493</v>
      </c>
      <c r="K17" s="55">
        <f t="shared" si="4"/>
        <v>0</v>
      </c>
      <c r="L17" s="52">
        <f t="shared" si="5"/>
        <v>0</v>
      </c>
      <c r="M17" s="25"/>
    </row>
    <row r="18" spans="1:13" ht="27" customHeight="1" x14ac:dyDescent="0.25">
      <c r="A18" s="59">
        <v>15</v>
      </c>
      <c r="B18" s="53" t="s">
        <v>854</v>
      </c>
      <c r="C18" s="51">
        <v>1371.529</v>
      </c>
      <c r="D18" s="51">
        <v>22.278000000000002</v>
      </c>
      <c r="E18" s="52">
        <f t="shared" si="1"/>
        <v>1393.807</v>
      </c>
      <c r="F18" s="52">
        <v>318391.30051999999</v>
      </c>
      <c r="G18" s="52">
        <f>(218.46782+2205+273.2+27.909+102.063-6482.887-10.782-132.347-142.673-49.547-40.72+86.742-100-17.943-92.691+11.327+11.5+42.498+62.3+150+507.28+1650.946+3113.492)*0.1</f>
        <v>139.31348200000011</v>
      </c>
      <c r="H18" s="52">
        <f t="shared" si="2"/>
        <v>318530.61400200002</v>
      </c>
      <c r="I18" s="65">
        <f t="shared" si="0"/>
        <v>228.53279830134304</v>
      </c>
      <c r="J18" s="52">
        <f t="shared" si="3"/>
        <v>1.9477752851043562</v>
      </c>
      <c r="K18" s="55">
        <f t="shared" si="4"/>
        <v>69320.7</v>
      </c>
      <c r="L18" s="52">
        <f t="shared" si="5"/>
        <v>0</v>
      </c>
      <c r="M18" s="25"/>
    </row>
    <row r="19" spans="1:13" ht="27" customHeight="1" x14ac:dyDescent="0.25">
      <c r="A19" s="59">
        <v>16</v>
      </c>
      <c r="B19" s="53" t="s">
        <v>855</v>
      </c>
      <c r="C19" s="51">
        <v>1148.4559999999999</v>
      </c>
      <c r="D19" s="51">
        <v>3.1140000000000003</v>
      </c>
      <c r="E19" s="52">
        <f t="shared" si="1"/>
        <v>1151.57</v>
      </c>
      <c r="F19" s="52">
        <v>56979.262000000002</v>
      </c>
      <c r="G19" s="52">
        <f>(194.285-5.6-6.5-1.1+21.001+37.903+71.6+15.1-327.6-14.1-0.9-163.4-16-2893)*0.1</f>
        <v>-308.83110000000005</v>
      </c>
      <c r="H19" s="52">
        <f t="shared" si="2"/>
        <v>56670.430899999999</v>
      </c>
      <c r="I19" s="65">
        <f t="shared" si="0"/>
        <v>49.211451236138494</v>
      </c>
      <c r="J19" s="52">
        <f t="shared" si="3"/>
        <v>0.41942709831731612</v>
      </c>
      <c r="K19" s="55">
        <f t="shared" si="4"/>
        <v>0</v>
      </c>
      <c r="L19" s="52">
        <f t="shared" si="5"/>
        <v>51945.7</v>
      </c>
      <c r="M19" s="25"/>
    </row>
    <row r="20" spans="1:13" ht="27" customHeight="1" x14ac:dyDescent="0.25">
      <c r="A20" s="59">
        <v>17</v>
      </c>
      <c r="B20" s="53" t="s">
        <v>856</v>
      </c>
      <c r="C20" s="51">
        <v>1053.452</v>
      </c>
      <c r="D20" s="51">
        <v>11.133999999999999</v>
      </c>
      <c r="E20" s="52">
        <f t="shared" si="1"/>
        <v>1064.586</v>
      </c>
      <c r="F20" s="52">
        <v>82587.039000000004</v>
      </c>
      <c r="G20" s="52"/>
      <c r="H20" s="52">
        <f t="shared" si="2"/>
        <v>82587.039000000004</v>
      </c>
      <c r="I20" s="65">
        <f t="shared" si="0"/>
        <v>77.576672058433985</v>
      </c>
      <c r="J20" s="52">
        <f t="shared" si="3"/>
        <v>0.66118266462926079</v>
      </c>
      <c r="K20" s="55">
        <f t="shared" si="4"/>
        <v>0</v>
      </c>
      <c r="L20" s="52">
        <f t="shared" si="5"/>
        <v>23864.2</v>
      </c>
      <c r="M20" s="25"/>
    </row>
    <row r="21" spans="1:13" ht="27" customHeight="1" x14ac:dyDescent="0.25">
      <c r="A21" s="59">
        <v>18</v>
      </c>
      <c r="B21" s="53" t="s">
        <v>857</v>
      </c>
      <c r="C21" s="51">
        <v>1030.5619999999997</v>
      </c>
      <c r="D21" s="51">
        <v>2.1659999999999995</v>
      </c>
      <c r="E21" s="52">
        <f t="shared" si="1"/>
        <v>1032.7279999999996</v>
      </c>
      <c r="F21" s="52">
        <v>49846</v>
      </c>
      <c r="G21" s="52">
        <f>(2435.73451+493.6+88.677+26.986+47.387+104.951+819.07+100)*0.1</f>
        <v>411.64055100000007</v>
      </c>
      <c r="H21" s="52">
        <f t="shared" si="2"/>
        <v>50257.640550999997</v>
      </c>
      <c r="I21" s="65">
        <f t="shared" si="0"/>
        <v>48.664934572317215</v>
      </c>
      <c r="J21" s="52">
        <f t="shared" si="3"/>
        <v>0.4147691601193812</v>
      </c>
      <c r="K21" s="55">
        <f t="shared" si="4"/>
        <v>0</v>
      </c>
      <c r="L21" s="52">
        <f t="shared" si="5"/>
        <v>47036.4</v>
      </c>
      <c r="M21" s="25"/>
    </row>
    <row r="22" spans="1:13" ht="27" customHeight="1" x14ac:dyDescent="0.25">
      <c r="A22" s="59">
        <v>19</v>
      </c>
      <c r="B22" s="53" t="s">
        <v>858</v>
      </c>
      <c r="C22" s="51">
        <v>2633.8339999999998</v>
      </c>
      <c r="D22" s="51">
        <v>138.13000000000002</v>
      </c>
      <c r="E22" s="52">
        <f t="shared" si="1"/>
        <v>2771.9639999999999</v>
      </c>
      <c r="F22" s="52">
        <v>271825.73950999998</v>
      </c>
      <c r="G22" s="52">
        <f>(71.89686+3517.816+310.54+256.027+50.976+122+120.284+283.1+1728.763+142.673-86.742-57.958-21.001-88.677-36.992-19.161-53.383-9.498-95.951-663.201-133.079-204.866-11.776-2916.533+30+11+1.37+126.98+3.97+1.25+19.43+14.494+14.576+15.03+72.461+205.461+170.689+560.559+596.732+742.32+900.822+395+163.4+4560.43083)*0.1</f>
        <v>1081.1232689999999</v>
      </c>
      <c r="H22" s="52">
        <f t="shared" si="2"/>
        <v>272906.86277899996</v>
      </c>
      <c r="I22" s="65">
        <f t="shared" si="0"/>
        <v>98.45252780303062</v>
      </c>
      <c r="J22" s="52">
        <f t="shared" si="3"/>
        <v>0.83910669206410171</v>
      </c>
      <c r="K22" s="55">
        <f t="shared" si="4"/>
        <v>0</v>
      </c>
      <c r="L22" s="52">
        <f t="shared" si="5"/>
        <v>15843.7</v>
      </c>
      <c r="M22" s="25"/>
    </row>
    <row r="23" spans="1:13" ht="27" customHeight="1" x14ac:dyDescent="0.25">
      <c r="A23" s="59">
        <v>20</v>
      </c>
      <c r="B23" s="53" t="s">
        <v>860</v>
      </c>
      <c r="C23" s="51">
        <v>1016.7069999999999</v>
      </c>
      <c r="D23" s="51">
        <v>14.827000000000002</v>
      </c>
      <c r="E23" s="52">
        <f t="shared" si="1"/>
        <v>1031.5339999999999</v>
      </c>
      <c r="F23" s="52">
        <v>56632.165000000001</v>
      </c>
      <c r="G23" s="52">
        <f>(144.822+27.44-201-12180.2-394.552-117.453-200.543-15.48-56.844+27)*0.1</f>
        <v>-1296.6809999999998</v>
      </c>
      <c r="H23" s="52">
        <f t="shared" si="2"/>
        <v>55335.484000000004</v>
      </c>
      <c r="I23" s="65">
        <f t="shared" si="0"/>
        <v>53.643877952641418</v>
      </c>
      <c r="J23" s="52">
        <f t="shared" si="3"/>
        <v>0.45720448202596303</v>
      </c>
      <c r="K23" s="55">
        <f t="shared" si="4"/>
        <v>0</v>
      </c>
      <c r="L23" s="52">
        <f t="shared" si="5"/>
        <v>42873.3</v>
      </c>
      <c r="M23" s="25"/>
    </row>
    <row r="24" spans="1:13" ht="27" customHeight="1" x14ac:dyDescent="0.25">
      <c r="A24" s="59">
        <v>21</v>
      </c>
      <c r="B24" s="53" t="s">
        <v>861</v>
      </c>
      <c r="C24" s="51">
        <v>1243.7869999999996</v>
      </c>
      <c r="D24" s="51">
        <v>6.7609999999999992</v>
      </c>
      <c r="E24" s="52">
        <f t="shared" si="1"/>
        <v>1250.5479999999995</v>
      </c>
      <c r="F24" s="52">
        <v>70641.442999999999</v>
      </c>
      <c r="G24" s="52">
        <f>(-107.1-3687.3-101.7-14.6-25.2-18.7-14.6-7.2-6.2-5.8-56-30-11)*0.1</f>
        <v>-408.53999999999996</v>
      </c>
      <c r="H24" s="52">
        <f t="shared" si="2"/>
        <v>70232.903000000006</v>
      </c>
      <c r="I24" s="65">
        <f t="shared" si="0"/>
        <v>56.161701110233295</v>
      </c>
      <c r="J24" s="52">
        <f t="shared" si="3"/>
        <v>0.47866378132598847</v>
      </c>
      <c r="K24" s="55">
        <f t="shared" si="4"/>
        <v>0</v>
      </c>
      <c r="L24" s="52">
        <f t="shared" si="5"/>
        <v>49457.1</v>
      </c>
      <c r="M24" s="25"/>
    </row>
    <row r="25" spans="1:13" ht="27" customHeight="1" x14ac:dyDescent="0.25">
      <c r="A25" s="59">
        <v>22</v>
      </c>
      <c r="B25" s="53" t="s">
        <v>862</v>
      </c>
      <c r="C25" s="51">
        <v>1178.2659999999998</v>
      </c>
      <c r="D25" s="51">
        <v>10.827</v>
      </c>
      <c r="E25" s="52">
        <f t="shared" si="1"/>
        <v>1189.0929999999998</v>
      </c>
      <c r="F25" s="52">
        <v>85728.668999999994</v>
      </c>
      <c r="G25" s="52">
        <f>(41.27-686.9+3.049+234)*0.1</f>
        <v>-40.858100000000007</v>
      </c>
      <c r="H25" s="52">
        <f t="shared" si="2"/>
        <v>85687.810899999997</v>
      </c>
      <c r="I25" s="65">
        <f t="shared" si="0"/>
        <v>72.061487957628216</v>
      </c>
      <c r="J25" s="52">
        <f t="shared" si="3"/>
        <v>0.61417698595120462</v>
      </c>
      <c r="K25" s="55">
        <f t="shared" si="4"/>
        <v>0</v>
      </c>
      <c r="L25" s="52">
        <f t="shared" si="5"/>
        <v>31901.599999999999</v>
      </c>
      <c r="M25" s="25"/>
    </row>
    <row r="26" spans="1:13" ht="27" customHeight="1" x14ac:dyDescent="0.25">
      <c r="A26" s="59">
        <v>23</v>
      </c>
      <c r="B26" s="53" t="s">
        <v>863</v>
      </c>
      <c r="C26" s="51">
        <v>896.56599999999992</v>
      </c>
      <c r="D26" s="51">
        <v>2.4370000000000003</v>
      </c>
      <c r="E26" s="52">
        <f t="shared" si="1"/>
        <v>899.00299999999993</v>
      </c>
      <c r="F26" s="52">
        <v>22975.65</v>
      </c>
      <c r="G26" s="52"/>
      <c r="H26" s="52">
        <f t="shared" si="2"/>
        <v>22975.65</v>
      </c>
      <c r="I26" s="65">
        <f t="shared" si="0"/>
        <v>25.556811267593105</v>
      </c>
      <c r="J26" s="52">
        <f t="shared" si="3"/>
        <v>0.21781961155289387</v>
      </c>
      <c r="K26" s="55">
        <f t="shared" si="4"/>
        <v>0</v>
      </c>
      <c r="L26" s="52">
        <f t="shared" si="5"/>
        <v>57565.2</v>
      </c>
      <c r="M26" s="25"/>
    </row>
    <row r="27" spans="1:13" ht="27" customHeight="1" x14ac:dyDescent="0.25">
      <c r="A27" s="59">
        <v>24</v>
      </c>
      <c r="B27" s="53" t="s">
        <v>864</v>
      </c>
      <c r="C27" s="51">
        <v>976.70099999999979</v>
      </c>
      <c r="D27" s="51">
        <v>7.3330000000000002</v>
      </c>
      <c r="E27" s="52">
        <f t="shared" si="1"/>
        <v>984.03399999999976</v>
      </c>
      <c r="F27" s="52">
        <v>70642.819709999996</v>
      </c>
      <c r="G27" s="52">
        <f>(115.1+53.383-3.16-0.46-79.1-1.48-1.37-126.98-3.97-1.25-19.43-12.62-137.08-0.99-0.15-44.82-0.12-4.7-4.57-2.03-1.14-49+37.023+1536.942)*0.1</f>
        <v>124.8028</v>
      </c>
      <c r="H27" s="52">
        <f t="shared" si="2"/>
        <v>70767.622510000001</v>
      </c>
      <c r="I27" s="65">
        <f t="shared" si="0"/>
        <v>71.915830662355177</v>
      </c>
      <c r="J27" s="52">
        <f t="shared" si="3"/>
        <v>0.61293555504090746</v>
      </c>
      <c r="K27" s="55">
        <f t="shared" si="4"/>
        <v>0</v>
      </c>
      <c r="L27" s="52">
        <f t="shared" si="5"/>
        <v>26514.9</v>
      </c>
      <c r="M27" s="25"/>
    </row>
    <row r="28" spans="1:13" ht="27" customHeight="1" x14ac:dyDescent="0.25">
      <c r="A28" s="59">
        <v>25</v>
      </c>
      <c r="B28" s="53" t="s">
        <v>881</v>
      </c>
      <c r="C28" s="51">
        <v>2962.18</v>
      </c>
      <c r="D28" s="51">
        <v>167.59700000000001</v>
      </c>
      <c r="E28" s="52">
        <f t="shared" si="1"/>
        <v>3129.777</v>
      </c>
      <c r="F28" s="52">
        <v>4921325.5999999996</v>
      </c>
      <c r="G28" s="52">
        <f>(219.974+28.325+24.22679+16.007+16+12.211+11.899+1697.721+438.283+71.01+584.152+100+55.781+524.057+1161.01601+125.845+5453.9+520.032+6482.887+2916.533+12180.2+394.552+117.453+200.543+3687.3+101.7+14.6+25.2+18.7+14.6+7.2+6.2+5.8+686.9+12.62+137.08+0.99+0.15+44.82+0.12+4.7+4.57+2.03+1.14+1306.044+2394.8+12130.794+1591.4+2893+27.3+10.1)*0.1</f>
        <v>5848.24658</v>
      </c>
      <c r="H28" s="52"/>
      <c r="I28" s="65"/>
      <c r="J28" s="52"/>
      <c r="K28" s="55"/>
      <c r="L28" s="52"/>
      <c r="M28" s="25"/>
    </row>
    <row r="29" spans="1:13" s="3" customFormat="1" ht="27" customHeight="1" x14ac:dyDescent="0.25">
      <c r="A29" s="56"/>
      <c r="B29" s="57" t="s">
        <v>2</v>
      </c>
      <c r="C29" s="58">
        <f>SUM(C4:C27)</f>
        <v>34881.043999999994</v>
      </c>
      <c r="D29" s="58">
        <f>SUM(D4:D27)</f>
        <v>1292.4610000000002</v>
      </c>
      <c r="E29" s="5">
        <f>SUM(E4:E27)</f>
        <v>36173.504999999997</v>
      </c>
      <c r="F29" s="5">
        <f>SUM(F4:F27)</f>
        <v>4250091.6073199995</v>
      </c>
      <c r="G29" s="5">
        <f>SUM(G4:G28)</f>
        <v>0</v>
      </c>
      <c r="H29" s="5">
        <f>SUM(H4:H27)</f>
        <v>4244243.3607399995</v>
      </c>
      <c r="I29" s="21">
        <f>H29/E29</f>
        <v>117.33016639498992</v>
      </c>
      <c r="J29" s="5">
        <f>I29/$I$29</f>
        <v>1</v>
      </c>
      <c r="K29" s="5">
        <f>SUM(K4:K27)</f>
        <v>557789.9</v>
      </c>
      <c r="L29" s="5">
        <f>SUM(L4:L27)</f>
        <v>713768.5</v>
      </c>
      <c r="M29" s="25"/>
    </row>
    <row r="31" spans="1:13" x14ac:dyDescent="0.25">
      <c r="G31" s="25"/>
      <c r="I31" s="8"/>
    </row>
    <row r="32" spans="1:13" x14ac:dyDescent="0.25">
      <c r="I32" s="8"/>
    </row>
    <row r="33" spans="9:9" x14ac:dyDescent="0.25">
      <c r="I33" s="8"/>
    </row>
  </sheetData>
  <mergeCells count="1">
    <mergeCell ref="A1:L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40"/>
  <sheetViews>
    <sheetView showZeros="0" view="pageBreakPreview" zoomScale="60" zoomScaleNormal="70" workbookViewId="0">
      <selection activeCell="L33" sqref="L33"/>
    </sheetView>
  </sheetViews>
  <sheetFormatPr defaultRowHeight="15.75" x14ac:dyDescent="0.25"/>
  <cols>
    <col min="1" max="1" width="5.85546875" style="1" customWidth="1"/>
    <col min="2" max="2" width="46.85546875" style="1" bestFit="1" customWidth="1"/>
    <col min="3" max="3" width="19" style="1" customWidth="1"/>
    <col min="4" max="4" width="20" style="1" customWidth="1"/>
    <col min="5" max="5" width="18.28515625" style="1" customWidth="1"/>
    <col min="6" max="6" width="16" style="1" customWidth="1"/>
    <col min="7" max="7" width="22.42578125" style="1" customWidth="1"/>
    <col min="8" max="8" width="16.5703125" style="1" customWidth="1"/>
    <col min="9" max="9" width="15.140625" style="1" customWidth="1"/>
    <col min="10" max="10" width="17.7109375" style="1" customWidth="1"/>
    <col min="11" max="11" width="17" style="1" customWidth="1"/>
    <col min="12" max="12" width="20.5703125" style="1" customWidth="1"/>
    <col min="13" max="13" width="9.140625" style="1"/>
    <col min="14" max="14" width="13.140625" style="1" bestFit="1" customWidth="1"/>
    <col min="15" max="16384" width="9.140625" style="1"/>
  </cols>
  <sheetData>
    <row r="1" spans="1:12" s="6" customFormat="1" ht="38.25" customHeight="1" x14ac:dyDescent="0.25">
      <c r="A1" s="96" t="s">
        <v>2847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x14ac:dyDescent="0.25">
      <c r="F2" s="23"/>
    </row>
    <row r="3" spans="1:12" s="3" customFormat="1" ht="96.75" customHeight="1" x14ac:dyDescent="0.25">
      <c r="A3" s="60" t="s">
        <v>0</v>
      </c>
      <c r="B3" s="60" t="s">
        <v>1</v>
      </c>
      <c r="C3" s="60" t="s">
        <v>2851</v>
      </c>
      <c r="D3" s="60" t="s">
        <v>1005</v>
      </c>
      <c r="E3" s="60" t="s">
        <v>1006</v>
      </c>
      <c r="F3" s="60" t="s">
        <v>2848</v>
      </c>
      <c r="G3" s="60" t="s">
        <v>1007</v>
      </c>
      <c r="H3" s="60" t="s">
        <v>1008</v>
      </c>
      <c r="I3" s="60" t="s">
        <v>741</v>
      </c>
      <c r="J3" s="60" t="s">
        <v>296</v>
      </c>
      <c r="K3" s="60" t="s">
        <v>1009</v>
      </c>
      <c r="L3" s="60" t="s">
        <v>1010</v>
      </c>
    </row>
    <row r="4" spans="1:12" ht="25.5" customHeight="1" x14ac:dyDescent="0.25">
      <c r="A4" s="59">
        <v>1</v>
      </c>
      <c r="B4" s="50" t="s">
        <v>837</v>
      </c>
      <c r="C4" s="51">
        <v>1529.123</v>
      </c>
      <c r="D4" s="51">
        <v>11.276999999999999</v>
      </c>
      <c r="E4" s="61">
        <f>D4+C4</f>
        <v>1540.4</v>
      </c>
      <c r="F4" s="61">
        <v>1297359.34084</v>
      </c>
      <c r="G4" s="61">
        <f>(-366.329-1163.377-851.125-674-52579.8)*0.15</f>
        <v>-8345.1946499999995</v>
      </c>
      <c r="H4" s="61">
        <f>F4+G4</f>
        <v>1289014.14619</v>
      </c>
      <c r="I4" s="64">
        <f t="shared" ref="I4:I27" si="0">H4/E4</f>
        <v>836.80482094910406</v>
      </c>
      <c r="J4" s="61">
        <f>I4/$I$29</f>
        <v>0.98786484705994282</v>
      </c>
      <c r="K4" s="61">
        <f>ROUND(IF(J4&lt;1.1,0,(I4-($I$29*1.1))*0.5)*E4,1)</f>
        <v>0</v>
      </c>
      <c r="L4" s="61">
        <f>ROUND(IF(J4&gt;0.9,0,(($I$29*0.9)-I4)*0.8)*E4,1)</f>
        <v>0</v>
      </c>
    </row>
    <row r="5" spans="1:12" ht="25.5" customHeight="1" x14ac:dyDescent="0.25">
      <c r="A5" s="59">
        <v>2</v>
      </c>
      <c r="B5" s="50" t="s">
        <v>838</v>
      </c>
      <c r="C5" s="51">
        <v>1027.3970000000002</v>
      </c>
      <c r="D5" s="51">
        <v>3.1240000000000001</v>
      </c>
      <c r="E5" s="61">
        <f t="shared" ref="E5:E28" si="1">D5+C5</f>
        <v>1030.5210000000002</v>
      </c>
      <c r="F5" s="61">
        <v>691866.57008000009</v>
      </c>
      <c r="G5" s="61">
        <f>(-2359.33+34.4+41.3+66.9+24.8-77.9-253.9)*0.15</f>
        <v>-378.5594999999999</v>
      </c>
      <c r="H5" s="61">
        <f t="shared" ref="H5:H27" si="2">F5+G5</f>
        <v>691488.01058000012</v>
      </c>
      <c r="I5" s="64">
        <f t="shared" si="0"/>
        <v>671.00817021681269</v>
      </c>
      <c r="J5" s="61">
        <f t="shared" ref="J5:J27" si="3">I5/$I$29</f>
        <v>0.79213858100791268</v>
      </c>
      <c r="K5" s="61">
        <f t="shared" ref="K5:K27" si="4">ROUND(IF(J5&lt;1.1,0,(I5-($I$29*1.1))*0.5)*E5,1)</f>
        <v>0</v>
      </c>
      <c r="L5" s="61">
        <f t="shared" ref="L5:L27" si="5">ROUND(IF(J5&gt;0.9,0,(($I$29*0.9)-I5)*0.8)*E5,1)</f>
        <v>75325.100000000006</v>
      </c>
    </row>
    <row r="6" spans="1:12" ht="25.5" customHeight="1" x14ac:dyDescent="0.25">
      <c r="A6" s="59">
        <v>3</v>
      </c>
      <c r="B6" s="50" t="s">
        <v>839</v>
      </c>
      <c r="C6" s="51">
        <v>3142.0350000000003</v>
      </c>
      <c r="D6" s="51">
        <v>71.623999999999995</v>
      </c>
      <c r="E6" s="61">
        <f t="shared" si="1"/>
        <v>3213.6590000000001</v>
      </c>
      <c r="F6" s="61">
        <v>3696283.2460000003</v>
      </c>
      <c r="G6" s="61">
        <f>(-349.1-852.5-3664.3-253.2-211.9-627-283.5-1122.6-254.8-346.4-704.3-227.5-256.4-543.9-381.7-3454.1-590.3-250.9+825.51359+126.82378-96.7-165.3-192.2-129.4-91.3-120.8-81.4-81-101.6-180.5-187.3-171.1-168.5-87.8-756.8-86.2-106.8-136.2-161.9+26.476+24.984+34.173-209.4-53.7-98.9-83.5)*0.15</f>
        <v>-2532.7094445000002</v>
      </c>
      <c r="H6" s="61">
        <f t="shared" si="2"/>
        <v>3693750.5365555002</v>
      </c>
      <c r="I6" s="64">
        <f t="shared" si="0"/>
        <v>1149.3909392861844</v>
      </c>
      <c r="J6" s="61">
        <f t="shared" si="3"/>
        <v>1.3568790188878348</v>
      </c>
      <c r="K6" s="61">
        <f t="shared" si="4"/>
        <v>349643.2</v>
      </c>
      <c r="L6" s="61">
        <f t="shared" si="5"/>
        <v>0</v>
      </c>
    </row>
    <row r="7" spans="1:12" ht="25.5" customHeight="1" x14ac:dyDescent="0.25">
      <c r="A7" s="59">
        <v>4</v>
      </c>
      <c r="B7" s="50" t="s">
        <v>840</v>
      </c>
      <c r="C7" s="51">
        <v>1823.796</v>
      </c>
      <c r="D7" s="51">
        <v>499.99100000000004</v>
      </c>
      <c r="E7" s="61">
        <f t="shared" si="1"/>
        <v>2323.7870000000003</v>
      </c>
      <c r="F7" s="61">
        <v>1955797.5049999999</v>
      </c>
      <c r="G7" s="61">
        <f>(-212.725-947.529-34.37-408.05-29077.898-10801.039+8.751+1.65+16.8+20.4-241.137-32.97-31.37-36.161-453.107-96.1-100.4+209.4-34.056+87.4+29.5+52579.8)*0.15</f>
        <v>1567.0183499999996</v>
      </c>
      <c r="H7" s="61">
        <f t="shared" si="2"/>
        <v>1957364.5233499999</v>
      </c>
      <c r="I7" s="64">
        <f>H7/E7</f>
        <v>842.31666815848428</v>
      </c>
      <c r="J7" s="61">
        <f t="shared" si="3"/>
        <v>0.99437169305819662</v>
      </c>
      <c r="K7" s="61">
        <f t="shared" si="4"/>
        <v>0</v>
      </c>
      <c r="L7" s="61">
        <f t="shared" si="5"/>
        <v>0</v>
      </c>
    </row>
    <row r="8" spans="1:12" ht="25.5" customHeight="1" x14ac:dyDescent="0.25">
      <c r="A8" s="59">
        <v>5</v>
      </c>
      <c r="B8" s="50" t="s">
        <v>842</v>
      </c>
      <c r="C8" s="51">
        <v>1195.4949999999997</v>
      </c>
      <c r="D8" s="51">
        <v>7.0559999999999983</v>
      </c>
      <c r="E8" s="61">
        <f t="shared" si="1"/>
        <v>1202.5509999999997</v>
      </c>
      <c r="F8" s="61">
        <v>962292.24899999995</v>
      </c>
      <c r="G8" s="61">
        <f>(-3046.3-378.13058-62.5006-98.084-144.05-6.7437-54-1028.801)*0.15</f>
        <v>-722.79148199999997</v>
      </c>
      <c r="H8" s="61">
        <f t="shared" si="2"/>
        <v>961569.45751799992</v>
      </c>
      <c r="I8" s="64">
        <f t="shared" si="0"/>
        <v>799.60804782333571</v>
      </c>
      <c r="J8" s="61">
        <f t="shared" si="3"/>
        <v>0.94395331156791018</v>
      </c>
      <c r="K8" s="61">
        <f t="shared" si="4"/>
        <v>0</v>
      </c>
      <c r="L8" s="61">
        <f t="shared" si="5"/>
        <v>0</v>
      </c>
    </row>
    <row r="9" spans="1:12" ht="25.5" customHeight="1" x14ac:dyDescent="0.25">
      <c r="A9" s="59">
        <v>6</v>
      </c>
      <c r="B9" s="50" t="s">
        <v>844</v>
      </c>
      <c r="C9" s="51">
        <v>1250.1289999999995</v>
      </c>
      <c r="D9" s="51">
        <v>3.3779999999999983</v>
      </c>
      <c r="E9" s="61">
        <f t="shared" si="1"/>
        <v>1253.5069999999994</v>
      </c>
      <c r="F9" s="61">
        <v>693879.93166</v>
      </c>
      <c r="G9" s="61">
        <f>(-8.751-1.65-15.568-20.97-17.007-5.466-0.656-3.053-65.292-55.38-10.942-9.71)*0.15</f>
        <v>-32.16675</v>
      </c>
      <c r="H9" s="61">
        <f t="shared" si="2"/>
        <v>693847.76491000003</v>
      </c>
      <c r="I9" s="64">
        <f t="shared" si="0"/>
        <v>553.52524151041871</v>
      </c>
      <c r="J9" s="61">
        <f t="shared" si="3"/>
        <v>0.65344763122697824</v>
      </c>
      <c r="K9" s="61">
        <f t="shared" si="4"/>
        <v>0</v>
      </c>
      <c r="L9" s="61">
        <f t="shared" si="5"/>
        <v>209436.6</v>
      </c>
    </row>
    <row r="10" spans="1:12" ht="25.5" customHeight="1" x14ac:dyDescent="0.25">
      <c r="A10" s="59">
        <v>7</v>
      </c>
      <c r="B10" s="50" t="s">
        <v>845</v>
      </c>
      <c r="C10" s="51">
        <v>1666.5149999999999</v>
      </c>
      <c r="D10" s="51">
        <v>56.658999999999999</v>
      </c>
      <c r="E10" s="61">
        <f t="shared" si="1"/>
        <v>1723.174</v>
      </c>
      <c r="F10" s="61">
        <v>1683043.692</v>
      </c>
      <c r="G10" s="61">
        <f>(1122.6+254.8+346.4+704.3-44.637-62.39791-73.05461-79.77855-48.91654-78.50975-825.51359-168.42766-116.07476-275.16572-100.37203-289.58149-847.6267-85.35999-263.99091-133.39935-871.70115-126.82378-86.11944-117.45739-31.73601+96.7+165.3+192.2+129.4+241.137-12.686-26.476-24.984-34.173-49.572-30.646-44.5-15.9)*0.15</f>
        <v>-256.91164950000024</v>
      </c>
      <c r="H10" s="61">
        <f t="shared" si="2"/>
        <v>1682786.7803505</v>
      </c>
      <c r="I10" s="64">
        <f t="shared" si="0"/>
        <v>976.56230905903874</v>
      </c>
      <c r="J10" s="61">
        <f t="shared" si="3"/>
        <v>1.1528513602358743</v>
      </c>
      <c r="K10" s="61">
        <f t="shared" si="4"/>
        <v>38572.9</v>
      </c>
      <c r="L10" s="61">
        <f t="shared" si="5"/>
        <v>0</v>
      </c>
    </row>
    <row r="11" spans="1:12" ht="25.5" customHeight="1" x14ac:dyDescent="0.25">
      <c r="A11" s="59">
        <v>8</v>
      </c>
      <c r="B11" s="50" t="s">
        <v>846</v>
      </c>
      <c r="C11" s="51">
        <v>1361.1089999999997</v>
      </c>
      <c r="D11" s="51">
        <v>3.9539999999999993</v>
      </c>
      <c r="E11" s="61">
        <f t="shared" si="1"/>
        <v>1365.0629999999996</v>
      </c>
      <c r="F11" s="61">
        <v>823584.60699999996</v>
      </c>
      <c r="G11" s="61">
        <f>(-30000-59.9-30.6-1744.2-2205.9)*0.15</f>
        <v>-5106.0899999999992</v>
      </c>
      <c r="H11" s="61">
        <f t="shared" si="2"/>
        <v>818478.51699999999</v>
      </c>
      <c r="I11" s="64">
        <f t="shared" si="0"/>
        <v>599.59028777426408</v>
      </c>
      <c r="J11" s="61">
        <f t="shared" si="3"/>
        <v>0.70782834073416034</v>
      </c>
      <c r="K11" s="61">
        <f t="shared" si="4"/>
        <v>0</v>
      </c>
      <c r="L11" s="61">
        <f t="shared" si="5"/>
        <v>177770.1</v>
      </c>
    </row>
    <row r="12" spans="1:12" ht="25.5" customHeight="1" x14ac:dyDescent="0.25">
      <c r="A12" s="59">
        <v>9</v>
      </c>
      <c r="B12" s="50" t="s">
        <v>847</v>
      </c>
      <c r="C12" s="51">
        <v>1788.5299999999997</v>
      </c>
      <c r="D12" s="51">
        <v>67.485000000000014</v>
      </c>
      <c r="E12" s="61">
        <f t="shared" si="1"/>
        <v>1856.0149999999999</v>
      </c>
      <c r="F12" s="61">
        <v>2099874.1195999999</v>
      </c>
      <c r="G12" s="61"/>
      <c r="H12" s="61">
        <f t="shared" si="2"/>
        <v>2099874.1195999999</v>
      </c>
      <c r="I12" s="64">
        <f t="shared" si="0"/>
        <v>1131.3885499847793</v>
      </c>
      <c r="J12" s="61">
        <f t="shared" si="3"/>
        <v>1.3356268378430654</v>
      </c>
      <c r="K12" s="61">
        <f t="shared" si="4"/>
        <v>185226.4</v>
      </c>
      <c r="L12" s="61">
        <f t="shared" si="5"/>
        <v>0</v>
      </c>
    </row>
    <row r="13" spans="1:12" ht="25.5" customHeight="1" x14ac:dyDescent="0.25">
      <c r="A13" s="59">
        <v>10</v>
      </c>
      <c r="B13" s="50" t="s">
        <v>848</v>
      </c>
      <c r="C13" s="51">
        <v>920.12800000000016</v>
      </c>
      <c r="D13" s="51">
        <v>6.5809999999999986</v>
      </c>
      <c r="E13" s="61">
        <f t="shared" si="1"/>
        <v>926.70900000000017</v>
      </c>
      <c r="F13" s="61">
        <v>786931</v>
      </c>
      <c r="G13" s="61">
        <f>(227.5)*0.15</f>
        <v>34.125</v>
      </c>
      <c r="H13" s="61">
        <f t="shared" si="2"/>
        <v>786965.125</v>
      </c>
      <c r="I13" s="64">
        <f t="shared" si="0"/>
        <v>849.20414606958582</v>
      </c>
      <c r="J13" s="61">
        <f t="shared" si="3"/>
        <v>1.0025024986450501</v>
      </c>
      <c r="K13" s="61">
        <f t="shared" si="4"/>
        <v>0</v>
      </c>
      <c r="L13" s="61">
        <f t="shared" si="5"/>
        <v>0</v>
      </c>
    </row>
    <row r="14" spans="1:12" ht="25.5" customHeight="1" x14ac:dyDescent="0.25">
      <c r="A14" s="59">
        <v>11</v>
      </c>
      <c r="B14" s="50" t="s">
        <v>849</v>
      </c>
      <c r="C14" s="51">
        <v>652.67600000000004</v>
      </c>
      <c r="D14" s="51">
        <v>283.59699999999998</v>
      </c>
      <c r="E14" s="61">
        <f t="shared" si="1"/>
        <v>936.27300000000002</v>
      </c>
      <c r="F14" s="61">
        <v>547497.772</v>
      </c>
      <c r="G14" s="61">
        <f>(96.1)*0.15</f>
        <v>14.414999999999999</v>
      </c>
      <c r="H14" s="61">
        <f t="shared" si="2"/>
        <v>547512.18700000003</v>
      </c>
      <c r="I14" s="64">
        <f t="shared" si="0"/>
        <v>584.77835738080671</v>
      </c>
      <c r="J14" s="61">
        <f t="shared" si="3"/>
        <v>0.69034256031501862</v>
      </c>
      <c r="K14" s="61">
        <f t="shared" si="4"/>
        <v>0</v>
      </c>
      <c r="L14" s="61">
        <f t="shared" si="5"/>
        <v>133023.79999999999</v>
      </c>
    </row>
    <row r="15" spans="1:12" ht="25.5" customHeight="1" x14ac:dyDescent="0.25">
      <c r="A15" s="59">
        <v>12</v>
      </c>
      <c r="B15" s="50" t="s">
        <v>851</v>
      </c>
      <c r="C15" s="51">
        <v>2497.7500000000005</v>
      </c>
      <c r="D15" s="51">
        <v>11.472</v>
      </c>
      <c r="E15" s="61">
        <f t="shared" si="1"/>
        <v>2509.2220000000007</v>
      </c>
      <c r="F15" s="61">
        <v>2184349.2299100002</v>
      </c>
      <c r="G15" s="61">
        <f>(2359.33+3454.1+590.3+117.45739+116.1+106.2+213.9+157.4+9.59+3.3+2.2+2.8+674+65.292+55.38+10.942+9.71+1744.2+36.9+756.8+86.2+106.8+136.2+161.9+44.5+12.895+77.9+253.9+53.7+2+1.6+11.1+1.3+13.4+10.8+7.6+7.8+8.3+2+35.8+12.1+9+367.1505)*0.15</f>
        <v>1786.4770334999996</v>
      </c>
      <c r="H15" s="61">
        <f t="shared" si="2"/>
        <v>2186135.7069435003</v>
      </c>
      <c r="I15" s="64">
        <f t="shared" si="0"/>
        <v>871.24045100174465</v>
      </c>
      <c r="J15" s="61">
        <f t="shared" si="3"/>
        <v>1.0285167978658447</v>
      </c>
      <c r="K15" s="61">
        <f t="shared" si="4"/>
        <v>0</v>
      </c>
      <c r="L15" s="61">
        <f t="shared" si="5"/>
        <v>0</v>
      </c>
    </row>
    <row r="16" spans="1:12" ht="25.5" customHeight="1" x14ac:dyDescent="0.25">
      <c r="A16" s="59">
        <v>13</v>
      </c>
      <c r="B16" s="50" t="s">
        <v>852</v>
      </c>
      <c r="C16" s="51">
        <v>1108.3939999999998</v>
      </c>
      <c r="D16" s="51">
        <v>8.3129999999999988</v>
      </c>
      <c r="E16" s="61">
        <f t="shared" si="1"/>
        <v>1116.7069999999999</v>
      </c>
      <c r="F16" s="61">
        <v>1001447.44901</v>
      </c>
      <c r="G16" s="61">
        <f>(256.4+378.13058+62.5006+10.03728+33.2)*0.15</f>
        <v>111.040269</v>
      </c>
      <c r="H16" s="61">
        <f t="shared" si="2"/>
        <v>1001558.489279</v>
      </c>
      <c r="I16" s="64">
        <f t="shared" si="0"/>
        <v>896.885655126188</v>
      </c>
      <c r="J16" s="61">
        <f t="shared" si="3"/>
        <v>1.0587914748466494</v>
      </c>
      <c r="K16" s="61">
        <f t="shared" si="4"/>
        <v>0</v>
      </c>
      <c r="L16" s="61">
        <f t="shared" si="5"/>
        <v>0</v>
      </c>
    </row>
    <row r="17" spans="1:14" ht="25.5" customHeight="1" x14ac:dyDescent="0.25">
      <c r="A17" s="59">
        <v>14</v>
      </c>
      <c r="B17" s="50" t="s">
        <v>853</v>
      </c>
      <c r="C17" s="51">
        <v>2368.107</v>
      </c>
      <c r="D17" s="51">
        <v>38.942999999999998</v>
      </c>
      <c r="E17" s="61">
        <f t="shared" si="1"/>
        <v>2407.0500000000002</v>
      </c>
      <c r="F17" s="61">
        <v>2044522.60072</v>
      </c>
      <c r="G17" s="61">
        <f>(29077.898+10801.039+5.466+0.656+4.15696+51.9+1.3+63.4+22.8+34.056+18.2+0.6+1.9+183.9)*0.15</f>
        <v>6040.0907940000016</v>
      </c>
      <c r="H17" s="61">
        <f t="shared" si="2"/>
        <v>2050562.6915140001</v>
      </c>
      <c r="I17" s="64">
        <f t="shared" si="0"/>
        <v>851.89866912361606</v>
      </c>
      <c r="J17" s="61">
        <f t="shared" si="3"/>
        <v>1.0056834370646568</v>
      </c>
      <c r="K17" s="61">
        <f t="shared" si="4"/>
        <v>0</v>
      </c>
      <c r="L17" s="61">
        <f t="shared" si="5"/>
        <v>0</v>
      </c>
    </row>
    <row r="18" spans="1:14" ht="25.5" customHeight="1" x14ac:dyDescent="0.25">
      <c r="A18" s="59">
        <v>15</v>
      </c>
      <c r="B18" s="50" t="s">
        <v>854</v>
      </c>
      <c r="C18" s="51">
        <v>1371.529</v>
      </c>
      <c r="D18" s="51">
        <v>22.278000000000002</v>
      </c>
      <c r="E18" s="61">
        <f t="shared" si="1"/>
        <v>1393.807</v>
      </c>
      <c r="F18" s="61">
        <v>1476811.92967</v>
      </c>
      <c r="G18" s="61">
        <f>(250.9-16.8+110.6-20.4-33.2-33.7+91.3-18.2-0.6-1.9-183.9-2-1.6-11.1-1.3-13.4-10.8-7.6-7.8-8.3-2-35.8-12.1-9-5.3-67.3-20.4-786.7-11-132.8-585-29383.1-91-6.7-151.5-1.3-19.8-1.8-40-46.7-13-4.5-49-3.8-26.3-39.5-6.6-22.8-30.9-190.7-3.3)*0.15</f>
        <v>-4757.9249999999993</v>
      </c>
      <c r="H18" s="61">
        <f t="shared" si="2"/>
        <v>1472054.0046699999</v>
      </c>
      <c r="I18" s="64">
        <f t="shared" si="0"/>
        <v>1056.1390527311169</v>
      </c>
      <c r="J18" s="61">
        <f t="shared" si="3"/>
        <v>1.2467932995616839</v>
      </c>
      <c r="K18" s="61">
        <f t="shared" si="4"/>
        <v>86657.4</v>
      </c>
      <c r="L18" s="61">
        <f t="shared" si="5"/>
        <v>0</v>
      </c>
    </row>
    <row r="19" spans="1:14" ht="25.5" customHeight="1" x14ac:dyDescent="0.25">
      <c r="A19" s="59">
        <v>16</v>
      </c>
      <c r="B19" s="50" t="s">
        <v>855</v>
      </c>
      <c r="C19" s="51">
        <v>1148.4559999999999</v>
      </c>
      <c r="D19" s="51">
        <v>3.1140000000000003</v>
      </c>
      <c r="E19" s="61">
        <f t="shared" si="1"/>
        <v>1151.57</v>
      </c>
      <c r="F19" s="61">
        <v>785096.95814</v>
      </c>
      <c r="G19" s="61">
        <f>(3046.3+31.73601-34.4-41.3-66.9-24.8-116.1-106.2-36.1+3.88802+453.107-222.8-28-27.5-35.9-41.7-32.8-21.3-32-18.5-113.3+3.3-87.4-29.5+64.328)*0.15</f>
        <v>372.92385449999989</v>
      </c>
      <c r="H19" s="61">
        <f t="shared" si="2"/>
        <v>785469.88199450006</v>
      </c>
      <c r="I19" s="64">
        <f t="shared" si="0"/>
        <v>682.08609289448327</v>
      </c>
      <c r="J19" s="61">
        <f t="shared" si="3"/>
        <v>0.80521629054991417</v>
      </c>
      <c r="K19" s="61">
        <f t="shared" si="4"/>
        <v>0</v>
      </c>
      <c r="L19" s="61">
        <f t="shared" si="5"/>
        <v>73967.5</v>
      </c>
    </row>
    <row r="20" spans="1:14" ht="25.5" customHeight="1" x14ac:dyDescent="0.25">
      <c r="A20" s="59">
        <v>17</v>
      </c>
      <c r="B20" s="50" t="s">
        <v>856</v>
      </c>
      <c r="C20" s="51">
        <v>1053.452</v>
      </c>
      <c r="D20" s="51">
        <v>11.133999999999999</v>
      </c>
      <c r="E20" s="61">
        <f t="shared" si="1"/>
        <v>1064.586</v>
      </c>
      <c r="F20" s="61">
        <v>903092.40708000003</v>
      </c>
      <c r="G20" s="61">
        <f>(-464.71345-32.54841+3.99762-367.1505-64.328-10.44-19.949-66.728)*0.15</f>
        <v>-153.27896099999998</v>
      </c>
      <c r="H20" s="61">
        <f t="shared" si="2"/>
        <v>902939.128119</v>
      </c>
      <c r="I20" s="64">
        <f t="shared" si="0"/>
        <v>848.15987446669408</v>
      </c>
      <c r="J20" s="61">
        <f t="shared" si="3"/>
        <v>1.0012697151076542</v>
      </c>
      <c r="K20" s="61">
        <f t="shared" si="4"/>
        <v>0</v>
      </c>
      <c r="L20" s="61">
        <f t="shared" si="5"/>
        <v>0</v>
      </c>
    </row>
    <row r="21" spans="1:14" ht="25.5" customHeight="1" x14ac:dyDescent="0.25">
      <c r="A21" s="59">
        <v>18</v>
      </c>
      <c r="B21" s="50" t="s">
        <v>857</v>
      </c>
      <c r="C21" s="51">
        <v>1030.5619999999997</v>
      </c>
      <c r="D21" s="51">
        <v>2.1659999999999995</v>
      </c>
      <c r="E21" s="61">
        <f t="shared" si="1"/>
        <v>1032.7279999999996</v>
      </c>
      <c r="F21" s="61">
        <v>649740.19999999995</v>
      </c>
      <c r="G21" s="61">
        <f>(-23.253)*0.15</f>
        <v>-3.4879500000000001</v>
      </c>
      <c r="H21" s="61">
        <f t="shared" si="2"/>
        <v>649736.71204999997</v>
      </c>
      <c r="I21" s="64">
        <f t="shared" si="0"/>
        <v>629.14602107234452</v>
      </c>
      <c r="J21" s="61">
        <f t="shared" si="3"/>
        <v>0.74271947570771057</v>
      </c>
      <c r="K21" s="61">
        <f t="shared" si="4"/>
        <v>0</v>
      </c>
      <c r="L21" s="61">
        <f t="shared" si="5"/>
        <v>110072.2</v>
      </c>
    </row>
    <row r="22" spans="1:14" ht="25.5" customHeight="1" x14ac:dyDescent="0.25">
      <c r="A22" s="59">
        <v>19</v>
      </c>
      <c r="B22" s="50" t="s">
        <v>858</v>
      </c>
      <c r="C22" s="51">
        <v>2633.8339999999998</v>
      </c>
      <c r="D22" s="51">
        <v>138.13000000000002</v>
      </c>
      <c r="E22" s="61">
        <f t="shared" si="1"/>
        <v>2771.9639999999999</v>
      </c>
      <c r="F22" s="61">
        <v>2455280.0066399998</v>
      </c>
      <c r="G22" s="61">
        <f>(543.9+381.7+408.05+3.053+275.16572+32.54841-8109.5+6.1+10.54556+98.3+626.1+44.2+48.4+3.9+17.2+30.6+154.677+9567.3+190.7+66.728+6.43846+98.9+83.5)*0.15</f>
        <v>688.27592249999975</v>
      </c>
      <c r="H22" s="61">
        <f t="shared" si="2"/>
        <v>2455968.2825624999</v>
      </c>
      <c r="I22" s="64">
        <f t="shared" si="0"/>
        <v>886.00295045768985</v>
      </c>
      <c r="J22" s="61">
        <f t="shared" si="3"/>
        <v>1.0459442240734631</v>
      </c>
      <c r="K22" s="61">
        <f t="shared" si="4"/>
        <v>0</v>
      </c>
      <c r="L22" s="61">
        <f t="shared" si="5"/>
        <v>0</v>
      </c>
    </row>
    <row r="23" spans="1:14" ht="25.5" customHeight="1" x14ac:dyDescent="0.25">
      <c r="A23" s="59">
        <v>20</v>
      </c>
      <c r="B23" s="50" t="s">
        <v>860</v>
      </c>
      <c r="C23" s="51">
        <v>1016.7069999999999</v>
      </c>
      <c r="D23" s="51">
        <v>14.827000000000002</v>
      </c>
      <c r="E23" s="61">
        <f t="shared" si="1"/>
        <v>1031.5339999999999</v>
      </c>
      <c r="F23" s="61">
        <v>688372.30599999998</v>
      </c>
      <c r="G23" s="61"/>
      <c r="H23" s="61">
        <f t="shared" si="2"/>
        <v>688372.30599999998</v>
      </c>
      <c r="I23" s="64">
        <f t="shared" si="0"/>
        <v>667.3287608551924</v>
      </c>
      <c r="J23" s="61">
        <f t="shared" si="3"/>
        <v>0.78779496458112697</v>
      </c>
      <c r="K23" s="61">
        <f t="shared" si="4"/>
        <v>0</v>
      </c>
      <c r="L23" s="61">
        <f t="shared" si="5"/>
        <v>78435.5</v>
      </c>
    </row>
    <row r="24" spans="1:14" ht="25.5" customHeight="1" x14ac:dyDescent="0.25">
      <c r="A24" s="59">
        <v>21</v>
      </c>
      <c r="B24" s="50" t="s">
        <v>861</v>
      </c>
      <c r="C24" s="51">
        <v>1243.7869999999996</v>
      </c>
      <c r="D24" s="51">
        <v>6.7609999999999992</v>
      </c>
      <c r="E24" s="61">
        <f t="shared" si="1"/>
        <v>1250.5479999999995</v>
      </c>
      <c r="F24" s="61">
        <v>982901.66099999996</v>
      </c>
      <c r="G24" s="61">
        <f>(98.084+144.05-2864.8)*0.15</f>
        <v>-393.3999</v>
      </c>
      <c r="H24" s="61">
        <f t="shared" si="2"/>
        <v>982508.2611</v>
      </c>
      <c r="I24" s="64">
        <f t="shared" si="0"/>
        <v>785.66217458266328</v>
      </c>
      <c r="J24" s="61">
        <f t="shared" si="3"/>
        <v>0.92748992895930049</v>
      </c>
      <c r="K24" s="61">
        <f t="shared" si="4"/>
        <v>0</v>
      </c>
      <c r="L24" s="61">
        <f t="shared" si="5"/>
        <v>0</v>
      </c>
    </row>
    <row r="25" spans="1:14" ht="25.5" customHeight="1" x14ac:dyDescent="0.25">
      <c r="A25" s="59">
        <v>22</v>
      </c>
      <c r="B25" s="50" t="s">
        <v>862</v>
      </c>
      <c r="C25" s="51">
        <v>1178.2659999999998</v>
      </c>
      <c r="D25" s="51">
        <v>10.827</v>
      </c>
      <c r="E25" s="61">
        <f t="shared" si="1"/>
        <v>1189.0929999999998</v>
      </c>
      <c r="F25" s="61">
        <v>967038.179</v>
      </c>
      <c r="G25" s="61">
        <f>(86.11944-213.9-157.4-49.4-25.6-25.7-37.8-37.6-34.5-32.3-71.5-398-447.6-148.6+0.9+851.125-36.9-9567.3)*0.15</f>
        <v>-1551.8933339999996</v>
      </c>
      <c r="H25" s="61">
        <f t="shared" si="2"/>
        <v>965486.28566599998</v>
      </c>
      <c r="I25" s="64">
        <f t="shared" si="0"/>
        <v>811.95187059885143</v>
      </c>
      <c r="J25" s="61">
        <f t="shared" si="3"/>
        <v>0.95852544152342289</v>
      </c>
      <c r="K25" s="61">
        <f t="shared" si="4"/>
        <v>0</v>
      </c>
      <c r="L25" s="61">
        <f t="shared" si="5"/>
        <v>0</v>
      </c>
    </row>
    <row r="26" spans="1:14" ht="25.5" customHeight="1" x14ac:dyDescent="0.25">
      <c r="A26" s="59">
        <v>23</v>
      </c>
      <c r="B26" s="50" t="s">
        <v>863</v>
      </c>
      <c r="C26" s="51">
        <v>896.56599999999992</v>
      </c>
      <c r="D26" s="51">
        <v>2.4370000000000003</v>
      </c>
      <c r="E26" s="61">
        <f t="shared" si="1"/>
        <v>899.00299999999993</v>
      </c>
      <c r="F26" s="61">
        <v>451680.05800000002</v>
      </c>
      <c r="G26" s="61">
        <f>(30000+36.1+23.253-171.438-9.59-2381.4-154.677-12.895)*0.15</f>
        <v>4099.4029499999997</v>
      </c>
      <c r="H26" s="61">
        <f t="shared" si="2"/>
        <v>455779.46095000004</v>
      </c>
      <c r="I26" s="64">
        <f t="shared" si="0"/>
        <v>506.9832480536773</v>
      </c>
      <c r="J26" s="61">
        <f t="shared" si="3"/>
        <v>0.59850387600833432</v>
      </c>
      <c r="K26" s="61">
        <f t="shared" si="4"/>
        <v>0</v>
      </c>
      <c r="L26" s="61">
        <f t="shared" si="5"/>
        <v>183679</v>
      </c>
    </row>
    <row r="27" spans="1:14" ht="25.5" customHeight="1" x14ac:dyDescent="0.25">
      <c r="A27" s="59">
        <v>24</v>
      </c>
      <c r="B27" s="50" t="s">
        <v>864</v>
      </c>
      <c r="C27" s="51">
        <v>976.70099999999979</v>
      </c>
      <c r="D27" s="51">
        <v>7.3330000000000002</v>
      </c>
      <c r="E27" s="61">
        <f t="shared" si="1"/>
        <v>984.03399999999976</v>
      </c>
      <c r="F27" s="61">
        <v>823167.37876000011</v>
      </c>
      <c r="G27" s="61">
        <f>(168.42766+116.07476-6.1-1075.2-7.6-3-0.3-5.2-83.1-3.99762-4.15696-3.88802-20.684-10.03728-10.54556-0.21314-110.6-0.1-37.1-57.9-0.3-0.1-14.6-25.5-6.2-7.9-51.1-32.1-19.7-49.3-26.6-6-53.9-0.9-3.3-2.2-2.8-98.3-626.1-44.2-48.4-3.9-17.2-0.4-8.3-122.8-51.9-1.3-63.4+33.7+12.686-12.69-22.8-6.43846)*0.15</f>
        <v>-380.91939300000001</v>
      </c>
      <c r="H27" s="61">
        <f t="shared" si="2"/>
        <v>822786.45936700015</v>
      </c>
      <c r="I27" s="64">
        <f t="shared" si="0"/>
        <v>836.13621009741564</v>
      </c>
      <c r="J27" s="61">
        <f t="shared" si="3"/>
        <v>0.9870755385614608</v>
      </c>
      <c r="K27" s="61">
        <f t="shared" si="4"/>
        <v>0</v>
      </c>
      <c r="L27" s="61">
        <f t="shared" si="5"/>
        <v>0</v>
      </c>
    </row>
    <row r="28" spans="1:14" ht="25.5" customHeight="1" x14ac:dyDescent="0.25">
      <c r="A28" s="59">
        <v>25</v>
      </c>
      <c r="B28" s="50" t="s">
        <v>881</v>
      </c>
      <c r="C28" s="51">
        <v>2962.18</v>
      </c>
      <c r="D28" s="51">
        <v>167.59700000000001</v>
      </c>
      <c r="E28" s="61">
        <f t="shared" si="1"/>
        <v>3129.777</v>
      </c>
      <c r="F28" s="61">
        <v>24566456.899999999</v>
      </c>
      <c r="G28" s="61">
        <f>(366.329+1163.377+349.1+852.5+3664.3+253.2+211.9+627+283.5+212.725+947.529+34.37+6.7437+54+15.568+20.97+17.007+44.637+62.39791+73.05461+79.77855+48.91654+78.50975+100.37203+289.58149+847.6267+85.35999+263.99091+133.39935+871.70115+464.71345+8109.5+2864.8+49.4+25.6+25.7+37.8+37.6+34.5+32.3+71.5+398+447.6+148.6+171.438+2381.4+1075.2+7.6+3+0.3+5.2+83.1+20.684+0.21314+0.1+37.1+57.9+0.3+0.1+14.6+25.5+6.2+7.9+51.1+32.1+19.7+49.3+26.6+6+53.9+0.4+8.3+122.8+120.8+81.4+81+101.6+180.5+187.3+171.1+168.5+87.8+32.97+31.37+36.161+1028.801+59.9+222.8+28+27.5+35.9+41.7+32.8+21.3+32+18.5+12.69+100.4+49.572+30.646+15.9+113.3+5.3+67.3+20.4+786.7+11+132.8+585+29383.1+91+6.7+151.5+1.3+19.8+1.8+40+46.7+13+4.5+49+3.8+26.3+39.5+6.6+22.8+30.9+10.44+19.949+2205.9)*0.15</f>
        <v>9901.5588404999999</v>
      </c>
      <c r="H28" s="61"/>
      <c r="I28" s="64"/>
      <c r="J28" s="61"/>
      <c r="K28" s="61"/>
      <c r="L28" s="61"/>
    </row>
    <row r="29" spans="1:14" ht="25.5" customHeight="1" x14ac:dyDescent="0.25">
      <c r="A29" s="62"/>
      <c r="B29" s="63" t="s">
        <v>2</v>
      </c>
      <c r="C29" s="5">
        <f>SUM(C4:C27)</f>
        <v>34881.043999999994</v>
      </c>
      <c r="D29" s="5">
        <f>SUM(D4:D27)</f>
        <v>1292.4610000000002</v>
      </c>
      <c r="E29" s="5">
        <f>SUM(E4:E27)</f>
        <v>36173.504999999997</v>
      </c>
      <c r="F29" s="5">
        <f>SUM(F4:F27)</f>
        <v>30651910.397109997</v>
      </c>
      <c r="G29" s="94">
        <f>SUM(G4:G27)+G28</f>
        <v>0</v>
      </c>
      <c r="H29" s="5">
        <f>SUM(H4:H27)</f>
        <v>30642008.838269502</v>
      </c>
      <c r="I29" s="21">
        <f>H29/E29</f>
        <v>847.08431870977131</v>
      </c>
      <c r="J29" s="5">
        <f>I29/$I$29</f>
        <v>1</v>
      </c>
      <c r="K29" s="5">
        <f>SUM(K4:K27)</f>
        <v>660099.9</v>
      </c>
      <c r="L29" s="5">
        <f>SUM(L4:L27)</f>
        <v>1041709.8</v>
      </c>
    </row>
    <row r="30" spans="1:14" x14ac:dyDescent="0.25">
      <c r="I30" s="77"/>
    </row>
    <row r="31" spans="1:14" x14ac:dyDescent="0.25">
      <c r="C31" s="25"/>
      <c r="D31" s="25"/>
      <c r="E31" s="25"/>
      <c r="F31" s="25"/>
      <c r="G31" s="25"/>
      <c r="H31" s="25"/>
      <c r="I31" s="77"/>
      <c r="N31" s="25"/>
    </row>
    <row r="32" spans="1:14" x14ac:dyDescent="0.25">
      <c r="C32" s="25"/>
      <c r="D32" s="25"/>
      <c r="E32" s="25"/>
      <c r="F32" s="25"/>
      <c r="G32" s="25"/>
      <c r="H32" s="25"/>
      <c r="I32" s="8"/>
      <c r="N32" s="25"/>
    </row>
    <row r="33" spans="3:14" x14ac:dyDescent="0.25">
      <c r="C33" s="25"/>
      <c r="D33" s="25"/>
      <c r="E33" s="25"/>
      <c r="F33" s="25"/>
      <c r="G33" s="25"/>
      <c r="H33" s="25"/>
      <c r="I33" s="8"/>
      <c r="N33" s="25"/>
    </row>
    <row r="34" spans="3:14" x14ac:dyDescent="0.25">
      <c r="C34" s="25"/>
      <c r="D34" s="25"/>
      <c r="E34" s="25"/>
      <c r="F34" s="25"/>
      <c r="G34" s="25"/>
      <c r="H34" s="25"/>
      <c r="I34" s="25"/>
      <c r="N34" s="25"/>
    </row>
    <row r="35" spans="3:14" x14ac:dyDescent="0.25">
      <c r="C35" s="25"/>
      <c r="D35" s="25"/>
      <c r="E35" s="25"/>
      <c r="F35" s="25"/>
      <c r="G35" s="25"/>
      <c r="H35" s="25"/>
      <c r="I35" s="25"/>
      <c r="N35" s="25"/>
    </row>
    <row r="40" spans="3:14" x14ac:dyDescent="0.25">
      <c r="K40" s="25"/>
      <c r="L40" s="25"/>
    </row>
  </sheetData>
  <mergeCells count="1">
    <mergeCell ref="A1:L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671"/>
  <sheetViews>
    <sheetView showZeros="0" tabSelected="1" view="pageBreakPreview" zoomScale="85" zoomScaleSheetLayoutView="85" workbookViewId="0">
      <pane xSplit="4" ySplit="4" topLeftCell="G5" activePane="bottomRight" state="frozen"/>
      <selection activeCell="O17" sqref="O17"/>
      <selection pane="topRight" activeCell="O17" sqref="O17"/>
      <selection pane="bottomLeft" activeCell="O17" sqref="O17"/>
      <selection pane="bottomRight" activeCell="G3" sqref="G3:G4"/>
    </sheetView>
  </sheetViews>
  <sheetFormatPr defaultRowHeight="15" x14ac:dyDescent="0.25"/>
  <cols>
    <col min="1" max="1" width="7.85546875" style="31" customWidth="1"/>
    <col min="2" max="2" width="9.42578125" style="31" customWidth="1"/>
    <col min="3" max="3" width="16.85546875" style="69" customWidth="1"/>
    <col min="4" max="4" width="54" style="31" customWidth="1"/>
    <col min="5" max="5" width="23.42578125" style="31" customWidth="1"/>
    <col min="6" max="6" width="23" style="31" customWidth="1"/>
    <col min="7" max="7" width="18.28515625" style="31" customWidth="1"/>
    <col min="8" max="8" width="20.5703125" style="31" customWidth="1"/>
    <col min="9" max="9" width="18.85546875" style="31" customWidth="1"/>
    <col min="10" max="10" width="17.140625" customWidth="1"/>
    <col min="11" max="11" width="13.85546875" customWidth="1"/>
    <col min="12" max="12" width="15.7109375" customWidth="1"/>
    <col min="13" max="13" width="18.140625" customWidth="1"/>
    <col min="14" max="14" width="16.28515625" customWidth="1"/>
  </cols>
  <sheetData>
    <row r="1" spans="1:14" ht="72" customHeight="1" x14ac:dyDescent="0.25">
      <c r="A1" s="100" t="s">
        <v>2846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N2" s="9"/>
    </row>
    <row r="3" spans="1:14" ht="54" customHeight="1" x14ac:dyDescent="0.25">
      <c r="A3" s="101" t="s">
        <v>998</v>
      </c>
      <c r="B3" s="101"/>
      <c r="C3" s="101" t="s">
        <v>732</v>
      </c>
      <c r="D3" s="102" t="s">
        <v>1001</v>
      </c>
      <c r="E3" s="99" t="s">
        <v>2851</v>
      </c>
      <c r="F3" s="99" t="s">
        <v>2852</v>
      </c>
      <c r="G3" s="97" t="s">
        <v>1014</v>
      </c>
      <c r="H3" s="97" t="s">
        <v>2845</v>
      </c>
      <c r="I3" s="97" t="s">
        <v>1007</v>
      </c>
      <c r="J3" s="97" t="s">
        <v>1015</v>
      </c>
      <c r="K3" s="97" t="s">
        <v>1016</v>
      </c>
      <c r="L3" s="103" t="s">
        <v>296</v>
      </c>
      <c r="M3" s="97" t="s">
        <v>1017</v>
      </c>
      <c r="N3" s="97" t="s">
        <v>1010</v>
      </c>
    </row>
    <row r="4" spans="1:14" ht="84.75" customHeight="1" x14ac:dyDescent="0.25">
      <c r="A4" s="10" t="s">
        <v>999</v>
      </c>
      <c r="B4" s="10" t="s">
        <v>1000</v>
      </c>
      <c r="C4" s="101"/>
      <c r="D4" s="102"/>
      <c r="E4" s="99"/>
      <c r="F4" s="99"/>
      <c r="G4" s="98"/>
      <c r="H4" s="98"/>
      <c r="I4" s="98"/>
      <c r="J4" s="98"/>
      <c r="K4" s="98"/>
      <c r="L4" s="104"/>
      <c r="M4" s="98"/>
      <c r="N4" s="98"/>
    </row>
    <row r="5" spans="1:14" s="12" customFormat="1" ht="15.75" x14ac:dyDescent="0.25">
      <c r="A5" s="17" t="s">
        <v>748</v>
      </c>
      <c r="B5" s="17" t="s">
        <v>7</v>
      </c>
      <c r="C5" s="17" t="s">
        <v>749</v>
      </c>
      <c r="D5" s="11" t="s">
        <v>8</v>
      </c>
      <c r="E5" s="11">
        <f t="shared" ref="E5:J5" si="0">E6+E7+E14</f>
        <v>1529.123</v>
      </c>
      <c r="F5" s="11">
        <f t="shared" si="0"/>
        <v>11.276999999999999</v>
      </c>
      <c r="G5" s="11">
        <f t="shared" si="0"/>
        <v>1540.2590000000009</v>
      </c>
      <c r="H5" s="11">
        <f t="shared" si="0"/>
        <v>5189437.0270100012</v>
      </c>
      <c r="I5" s="11">
        <f t="shared" si="0"/>
        <v>-33380.778600000005</v>
      </c>
      <c r="J5" s="11">
        <f t="shared" si="0"/>
        <v>5156056.2484100014</v>
      </c>
      <c r="K5" s="11">
        <f>J5/G5</f>
        <v>3347.5254800718571</v>
      </c>
      <c r="L5" s="11">
        <f>K5/$K$1659</f>
        <v>0.98691572249893156</v>
      </c>
      <c r="M5" s="11">
        <f>M6+M7+M14</f>
        <v>353294.10000000003</v>
      </c>
      <c r="N5" s="11">
        <f>N6+N7+N14</f>
        <v>539214.80000000005</v>
      </c>
    </row>
    <row r="6" spans="1:14" ht="15.75" x14ac:dyDescent="0.25">
      <c r="A6" s="33" t="s">
        <v>748</v>
      </c>
      <c r="B6" s="34" t="s">
        <v>6</v>
      </c>
      <c r="C6" s="18" t="s">
        <v>29</v>
      </c>
      <c r="D6" s="32" t="s">
        <v>837</v>
      </c>
      <c r="E6" s="5">
        <v>0</v>
      </c>
      <c r="F6" s="5">
        <v>0.14099999999999999</v>
      </c>
      <c r="G6" s="5"/>
      <c r="H6" s="5"/>
      <c r="I6" s="5"/>
      <c r="J6" s="5"/>
      <c r="K6" s="5"/>
      <c r="L6" s="5"/>
      <c r="M6" s="5"/>
      <c r="N6" s="5"/>
    </row>
    <row r="7" spans="1:14" ht="15.75" x14ac:dyDescent="0.25">
      <c r="A7" s="19" t="s">
        <v>748</v>
      </c>
      <c r="B7" s="19" t="s">
        <v>5</v>
      </c>
      <c r="C7" s="19" t="s">
        <v>750</v>
      </c>
      <c r="D7" s="7" t="s">
        <v>2792</v>
      </c>
      <c r="E7" s="7">
        <f t="shared" ref="E7:J7" si="1">SUM(E8:E13)</f>
        <v>0</v>
      </c>
      <c r="F7" s="7">
        <f t="shared" si="1"/>
        <v>0</v>
      </c>
      <c r="G7" s="7">
        <f t="shared" si="1"/>
        <v>0</v>
      </c>
      <c r="H7" s="7">
        <f t="shared" si="1"/>
        <v>0</v>
      </c>
      <c r="I7" s="7">
        <f t="shared" si="1"/>
        <v>0</v>
      </c>
      <c r="J7" s="7">
        <f t="shared" si="1"/>
        <v>0</v>
      </c>
      <c r="K7" s="7"/>
      <c r="L7" s="7"/>
      <c r="M7" s="7">
        <f>SUM(M8:M13)</f>
        <v>0</v>
      </c>
      <c r="N7" s="7">
        <f>SUM(N8:N13)</f>
        <v>0</v>
      </c>
    </row>
    <row r="8" spans="1:14" ht="15.75" x14ac:dyDescent="0.25">
      <c r="A8" s="33" t="s">
        <v>748</v>
      </c>
      <c r="B8" s="34" t="s">
        <v>4</v>
      </c>
      <c r="C8" s="18" t="s">
        <v>30</v>
      </c>
      <c r="D8" s="32" t="s">
        <v>882</v>
      </c>
      <c r="E8" s="5"/>
      <c r="F8" s="5"/>
      <c r="G8" s="5"/>
      <c r="H8" s="49"/>
      <c r="I8" s="49"/>
      <c r="J8" s="5"/>
      <c r="K8" s="5"/>
      <c r="L8" s="5"/>
      <c r="M8" s="5"/>
      <c r="N8" s="5"/>
    </row>
    <row r="9" spans="1:14" ht="15.75" x14ac:dyDescent="0.25">
      <c r="A9" s="33" t="s">
        <v>748</v>
      </c>
      <c r="B9" s="34" t="s">
        <v>4</v>
      </c>
      <c r="C9" s="18" t="s">
        <v>31</v>
      </c>
      <c r="D9" s="32" t="s">
        <v>883</v>
      </c>
      <c r="E9" s="5"/>
      <c r="F9" s="5"/>
      <c r="G9" s="5"/>
      <c r="H9" s="49"/>
      <c r="I9" s="49"/>
      <c r="J9" s="5"/>
      <c r="K9" s="5"/>
      <c r="L9" s="5"/>
      <c r="M9" s="5"/>
      <c r="N9" s="5"/>
    </row>
    <row r="10" spans="1:14" ht="15.75" x14ac:dyDescent="0.25">
      <c r="A10" s="33" t="s">
        <v>748</v>
      </c>
      <c r="B10" s="34" t="s">
        <v>4</v>
      </c>
      <c r="C10" s="18" t="s">
        <v>2734</v>
      </c>
      <c r="D10" s="32" t="s">
        <v>2735</v>
      </c>
      <c r="E10" s="5"/>
      <c r="F10" s="5"/>
      <c r="G10" s="5"/>
      <c r="H10" s="49"/>
      <c r="I10" s="49"/>
      <c r="J10" s="5"/>
      <c r="K10" s="5"/>
      <c r="L10" s="5"/>
      <c r="M10" s="5"/>
      <c r="N10" s="5"/>
    </row>
    <row r="11" spans="1:14" ht="15.75" x14ac:dyDescent="0.25">
      <c r="A11" s="33" t="s">
        <v>748</v>
      </c>
      <c r="B11" s="33" t="s">
        <v>4</v>
      </c>
      <c r="C11" s="18" t="s">
        <v>32</v>
      </c>
      <c r="D11" s="32" t="s">
        <v>884</v>
      </c>
      <c r="E11" s="5"/>
      <c r="F11" s="70"/>
      <c r="G11" s="5"/>
      <c r="H11" s="49"/>
      <c r="I11" s="49"/>
      <c r="J11" s="5"/>
      <c r="K11" s="5"/>
      <c r="L11" s="5"/>
      <c r="M11" s="5"/>
      <c r="N11" s="5"/>
    </row>
    <row r="12" spans="1:14" ht="15.75" x14ac:dyDescent="0.25">
      <c r="A12" s="33" t="s">
        <v>748</v>
      </c>
      <c r="B12" s="34" t="s">
        <v>4</v>
      </c>
      <c r="C12" s="18" t="s">
        <v>33</v>
      </c>
      <c r="D12" s="32" t="s">
        <v>885</v>
      </c>
      <c r="E12" s="5"/>
      <c r="F12" s="70"/>
      <c r="G12" s="5"/>
      <c r="H12" s="49"/>
      <c r="I12" s="49"/>
      <c r="J12" s="5"/>
      <c r="K12" s="5"/>
      <c r="L12" s="5"/>
      <c r="M12" s="5"/>
      <c r="N12" s="5"/>
    </row>
    <row r="13" spans="1:14" ht="15.75" x14ac:dyDescent="0.25">
      <c r="A13" s="33" t="s">
        <v>748</v>
      </c>
      <c r="B13" s="34" t="s">
        <v>4</v>
      </c>
      <c r="C13" s="18" t="s">
        <v>34</v>
      </c>
      <c r="D13" s="32" t="s">
        <v>886</v>
      </c>
      <c r="E13" s="5"/>
      <c r="F13" s="70"/>
      <c r="G13" s="5"/>
      <c r="H13" s="49"/>
      <c r="I13" s="49"/>
      <c r="J13" s="5"/>
      <c r="K13" s="5"/>
      <c r="L13" s="5"/>
      <c r="M13" s="5"/>
      <c r="N13" s="5"/>
    </row>
    <row r="14" spans="1:14" ht="31.5" x14ac:dyDescent="0.25">
      <c r="A14" s="19" t="s">
        <v>748</v>
      </c>
      <c r="B14" s="19" t="s">
        <v>28</v>
      </c>
      <c r="C14" s="19" t="s">
        <v>751</v>
      </c>
      <c r="D14" s="20" t="s">
        <v>2768</v>
      </c>
      <c r="E14" s="7">
        <f t="shared" ref="E14:J14" si="2">SUM(E15:E77)</f>
        <v>1529.123</v>
      </c>
      <c r="F14" s="7">
        <f t="shared" si="2"/>
        <v>11.135999999999999</v>
      </c>
      <c r="G14" s="7">
        <f t="shared" si="2"/>
        <v>1540.2590000000009</v>
      </c>
      <c r="H14" s="7">
        <f t="shared" si="2"/>
        <v>5189437.0270100012</v>
      </c>
      <c r="I14" s="7">
        <f t="shared" si="2"/>
        <v>-33380.778600000005</v>
      </c>
      <c r="J14" s="7">
        <f t="shared" si="2"/>
        <v>5156056.2484100014</v>
      </c>
      <c r="K14" s="7">
        <f t="shared" ref="K14:K24" si="3">J14/G14</f>
        <v>3347.5254800718571</v>
      </c>
      <c r="L14" s="7">
        <f t="shared" ref="L14:L45" si="4">K14/$K$1659</f>
        <v>0.98691572249893156</v>
      </c>
      <c r="M14" s="7">
        <f>SUM(M15:M77)</f>
        <v>353294.10000000003</v>
      </c>
      <c r="N14" s="7">
        <f>SUM(N15:N77)</f>
        <v>539214.80000000005</v>
      </c>
    </row>
    <row r="15" spans="1:14" ht="31.5" customHeight="1" x14ac:dyDescent="0.25">
      <c r="A15" s="33" t="s">
        <v>748</v>
      </c>
      <c r="B15" s="34" t="s">
        <v>983</v>
      </c>
      <c r="C15" s="18" t="s">
        <v>224</v>
      </c>
      <c r="D15" s="32" t="s">
        <v>1065</v>
      </c>
      <c r="E15" s="5">
        <v>45.256999999999998</v>
      </c>
      <c r="F15" s="5">
        <v>0.318</v>
      </c>
      <c r="G15" s="5">
        <f t="shared" ref="G15:G49" si="5">F15+E15</f>
        <v>45.574999999999996</v>
      </c>
      <c r="H15" s="5">
        <v>164616.78390000001</v>
      </c>
      <c r="I15" s="5">
        <f>(-1804.842-1163.377)*0.6</f>
        <v>-1780.9313999999999</v>
      </c>
      <c r="J15" s="5">
        <f t="shared" ref="J15:J24" si="6">H15+I15</f>
        <v>162835.85250000001</v>
      </c>
      <c r="K15" s="5">
        <f t="shared" si="3"/>
        <v>3572.9205156335715</v>
      </c>
      <c r="L15" s="5">
        <f t="shared" si="4"/>
        <v>1.053366569757094</v>
      </c>
      <c r="M15" s="5">
        <f t="shared" ref="M15:M46" si="7">ROUND(IF(L15&lt;110%,0,(K15-$K$1659*1.1)*0.5)*G15,1)</f>
        <v>0</v>
      </c>
      <c r="N15" s="5">
        <f t="shared" ref="N15:N46" si="8">ROUND(IF(L15&gt;90%,0,(-K15+$K$1659*0.9)*0.8)*G15,1)</f>
        <v>0</v>
      </c>
    </row>
    <row r="16" spans="1:14" ht="31.5" x14ac:dyDescent="0.25">
      <c r="A16" s="33" t="s">
        <v>748</v>
      </c>
      <c r="B16" s="34" t="s">
        <v>984</v>
      </c>
      <c r="C16" s="18" t="s">
        <v>225</v>
      </c>
      <c r="D16" s="32" t="s">
        <v>1066</v>
      </c>
      <c r="E16" s="5">
        <v>5.9109999999999996</v>
      </c>
      <c r="F16" s="5">
        <v>1.4E-2</v>
      </c>
      <c r="G16" s="5">
        <f t="shared" si="5"/>
        <v>5.9249999999999998</v>
      </c>
      <c r="H16" s="5">
        <v>15555.432479999999</v>
      </c>
      <c r="I16" s="5"/>
      <c r="J16" s="5">
        <f t="shared" si="6"/>
        <v>15555.432479999999</v>
      </c>
      <c r="K16" s="5">
        <f t="shared" si="3"/>
        <v>2625.3894481012658</v>
      </c>
      <c r="L16" s="5">
        <f t="shared" si="4"/>
        <v>0.77401595281010771</v>
      </c>
      <c r="M16" s="5">
        <f t="shared" si="7"/>
        <v>0</v>
      </c>
      <c r="N16" s="5">
        <f t="shared" si="8"/>
        <v>2025.5</v>
      </c>
    </row>
    <row r="17" spans="1:14" ht="15.75" x14ac:dyDescent="0.25">
      <c r="A17" s="33" t="s">
        <v>748</v>
      </c>
      <c r="B17" s="34" t="s">
        <v>983</v>
      </c>
      <c r="C17" s="18" t="s">
        <v>297</v>
      </c>
      <c r="D17" s="32" t="s">
        <v>1067</v>
      </c>
      <c r="E17" s="5">
        <v>21.373999999999999</v>
      </c>
      <c r="F17" s="5">
        <v>0.1</v>
      </c>
      <c r="G17" s="5">
        <f t="shared" si="5"/>
        <v>21.474</v>
      </c>
      <c r="H17" s="5">
        <v>100498.79451000001</v>
      </c>
      <c r="I17" s="5"/>
      <c r="J17" s="5">
        <f t="shared" si="6"/>
        <v>100498.79451000001</v>
      </c>
      <c r="K17" s="5">
        <f t="shared" si="3"/>
        <v>4680.0220969544571</v>
      </c>
      <c r="L17" s="5">
        <f t="shared" si="4"/>
        <v>1.3797616826586865</v>
      </c>
      <c r="M17" s="5">
        <f t="shared" si="7"/>
        <v>10188.6</v>
      </c>
      <c r="N17" s="5">
        <f t="shared" si="8"/>
        <v>0</v>
      </c>
    </row>
    <row r="18" spans="1:14" ht="31.5" x14ac:dyDescent="0.25">
      <c r="A18" s="33" t="s">
        <v>748</v>
      </c>
      <c r="B18" s="34" t="s">
        <v>985</v>
      </c>
      <c r="C18" s="18" t="s">
        <v>298</v>
      </c>
      <c r="D18" s="32" t="s">
        <v>2853</v>
      </c>
      <c r="E18" s="5">
        <v>9.5</v>
      </c>
      <c r="F18" s="5">
        <v>3.4000000000000002E-2</v>
      </c>
      <c r="G18" s="5">
        <f t="shared" si="5"/>
        <v>9.5340000000000007</v>
      </c>
      <c r="H18" s="5">
        <v>23525.211159999999</v>
      </c>
      <c r="I18" s="5"/>
      <c r="J18" s="5">
        <f t="shared" si="6"/>
        <v>23525.211159999999</v>
      </c>
      <c r="K18" s="5">
        <f t="shared" si="3"/>
        <v>2467.5069393748686</v>
      </c>
      <c r="L18" s="5">
        <f t="shared" si="4"/>
        <v>0.72746911363076516</v>
      </c>
      <c r="M18" s="5">
        <f t="shared" si="7"/>
        <v>0</v>
      </c>
      <c r="N18" s="5">
        <f t="shared" si="8"/>
        <v>4463.5</v>
      </c>
    </row>
    <row r="19" spans="1:14" ht="15.75" x14ac:dyDescent="0.25">
      <c r="A19" s="33" t="s">
        <v>748</v>
      </c>
      <c r="B19" s="34" t="s">
        <v>983</v>
      </c>
      <c r="C19" s="18" t="s">
        <v>306</v>
      </c>
      <c r="D19" s="32" t="s">
        <v>1069</v>
      </c>
      <c r="E19" s="5">
        <v>40.31</v>
      </c>
      <c r="F19" s="5">
        <v>0.16200000000000001</v>
      </c>
      <c r="G19" s="5">
        <f t="shared" si="5"/>
        <v>40.472000000000001</v>
      </c>
      <c r="H19" s="5">
        <v>96908.674840000022</v>
      </c>
      <c r="I19" s="5"/>
      <c r="J19" s="5">
        <f t="shared" si="6"/>
        <v>96908.674840000022</v>
      </c>
      <c r="K19" s="5">
        <f t="shared" si="3"/>
        <v>2394.4622168412734</v>
      </c>
      <c r="L19" s="5">
        <f t="shared" si="4"/>
        <v>0.70593410649097499</v>
      </c>
      <c r="M19" s="5">
        <f t="shared" si="7"/>
        <v>0</v>
      </c>
      <c r="N19" s="5">
        <f t="shared" si="8"/>
        <v>21312.7</v>
      </c>
    </row>
    <row r="20" spans="1:14" ht="31.5" customHeight="1" x14ac:dyDescent="0.25">
      <c r="A20" s="33" t="s">
        <v>748</v>
      </c>
      <c r="B20" s="34" t="s">
        <v>983</v>
      </c>
      <c r="C20" s="18" t="s">
        <v>307</v>
      </c>
      <c r="D20" s="32" t="s">
        <v>1070</v>
      </c>
      <c r="E20" s="5">
        <v>28.472000000000001</v>
      </c>
      <c r="F20" s="5">
        <v>0.13700000000000001</v>
      </c>
      <c r="G20" s="5">
        <f t="shared" si="5"/>
        <v>28.609000000000002</v>
      </c>
      <c r="H20" s="5">
        <v>92281.2981</v>
      </c>
      <c r="I20" s="5"/>
      <c r="J20" s="5">
        <f t="shared" si="6"/>
        <v>92281.2981</v>
      </c>
      <c r="K20" s="5">
        <f t="shared" si="3"/>
        <v>3225.6037645496172</v>
      </c>
      <c r="L20" s="5">
        <f t="shared" si="4"/>
        <v>0.95097082568507441</v>
      </c>
      <c r="M20" s="5">
        <f t="shared" si="7"/>
        <v>0</v>
      </c>
      <c r="N20" s="5">
        <f t="shared" si="8"/>
        <v>0</v>
      </c>
    </row>
    <row r="21" spans="1:14" ht="58.5" customHeight="1" x14ac:dyDescent="0.25">
      <c r="A21" s="33" t="s">
        <v>748</v>
      </c>
      <c r="B21" s="34" t="s">
        <v>983</v>
      </c>
      <c r="C21" s="18" t="s">
        <v>308</v>
      </c>
      <c r="D21" s="32" t="s">
        <v>1071</v>
      </c>
      <c r="E21" s="5">
        <v>43.819000000000003</v>
      </c>
      <c r="F21" s="5">
        <v>0.17799999999999999</v>
      </c>
      <c r="G21" s="5">
        <f t="shared" si="5"/>
        <v>43.997</v>
      </c>
      <c r="H21" s="5">
        <v>123996.58194</v>
      </c>
      <c r="I21" s="5"/>
      <c r="J21" s="5">
        <f t="shared" si="6"/>
        <v>123996.58194</v>
      </c>
      <c r="K21" s="5">
        <f t="shared" si="3"/>
        <v>2818.2962915653343</v>
      </c>
      <c r="L21" s="5">
        <f t="shared" si="4"/>
        <v>0.83088864815647523</v>
      </c>
      <c r="M21" s="5">
        <f t="shared" si="7"/>
        <v>0</v>
      </c>
      <c r="N21" s="5">
        <f t="shared" si="8"/>
        <v>8251</v>
      </c>
    </row>
    <row r="22" spans="1:14" ht="31.5" x14ac:dyDescent="0.25">
      <c r="A22" s="33" t="s">
        <v>748</v>
      </c>
      <c r="B22" s="34" t="s">
        <v>985</v>
      </c>
      <c r="C22" s="18" t="s">
        <v>309</v>
      </c>
      <c r="D22" s="32" t="s">
        <v>2854</v>
      </c>
      <c r="E22" s="5">
        <v>17.23</v>
      </c>
      <c r="F22" s="5">
        <v>6.3E-2</v>
      </c>
      <c r="G22" s="5">
        <f t="shared" si="5"/>
        <v>17.292999999999999</v>
      </c>
      <c r="H22" s="5">
        <v>36213.994059999997</v>
      </c>
      <c r="I22" s="5">
        <f>(-851.125)*0.6</f>
        <v>-510.67499999999995</v>
      </c>
      <c r="J22" s="5">
        <f t="shared" si="6"/>
        <v>35703.319059999994</v>
      </c>
      <c r="K22" s="5">
        <f t="shared" si="3"/>
        <v>2064.6110599664603</v>
      </c>
      <c r="L22" s="5">
        <f t="shared" si="4"/>
        <v>0.60868755982772849</v>
      </c>
      <c r="M22" s="5">
        <f t="shared" si="7"/>
        <v>0</v>
      </c>
      <c r="N22" s="5">
        <f t="shared" si="8"/>
        <v>13669.8</v>
      </c>
    </row>
    <row r="23" spans="1:14" ht="31.5" customHeight="1" x14ac:dyDescent="0.25">
      <c r="A23" s="33" t="s">
        <v>748</v>
      </c>
      <c r="B23" s="34" t="s">
        <v>985</v>
      </c>
      <c r="C23" s="18" t="s">
        <v>310</v>
      </c>
      <c r="D23" s="32" t="s">
        <v>1073</v>
      </c>
      <c r="E23" s="5">
        <v>14.446999999999999</v>
      </c>
      <c r="F23" s="5">
        <v>5.1999999999999998E-2</v>
      </c>
      <c r="G23" s="5">
        <f t="shared" si="5"/>
        <v>14.498999999999999</v>
      </c>
      <c r="H23" s="5">
        <v>22436.662409999997</v>
      </c>
      <c r="I23" s="5"/>
      <c r="J23" s="5">
        <f t="shared" si="6"/>
        <v>22436.662409999997</v>
      </c>
      <c r="K23" s="5">
        <f t="shared" si="3"/>
        <v>1547.4627498448169</v>
      </c>
      <c r="L23" s="5">
        <f t="shared" si="4"/>
        <v>0.45622216377289471</v>
      </c>
      <c r="M23" s="5">
        <f t="shared" si="7"/>
        <v>0</v>
      </c>
      <c r="N23" s="5">
        <f t="shared" si="8"/>
        <v>17459.7</v>
      </c>
    </row>
    <row r="24" spans="1:14" ht="31.5" x14ac:dyDescent="0.25">
      <c r="A24" s="33" t="s">
        <v>748</v>
      </c>
      <c r="B24" s="34" t="s">
        <v>985</v>
      </c>
      <c r="C24" s="18" t="s">
        <v>311</v>
      </c>
      <c r="D24" s="32" t="s">
        <v>1074</v>
      </c>
      <c r="E24" s="5">
        <v>18.782</v>
      </c>
      <c r="F24" s="5">
        <v>0.13200000000000001</v>
      </c>
      <c r="G24" s="5">
        <f t="shared" si="5"/>
        <v>18.914000000000001</v>
      </c>
      <c r="H24" s="5">
        <v>55801.190149999995</v>
      </c>
      <c r="I24" s="5"/>
      <c r="J24" s="5">
        <f t="shared" si="6"/>
        <v>55801.190149999995</v>
      </c>
      <c r="K24" s="5">
        <f t="shared" si="3"/>
        <v>2950.2585465792531</v>
      </c>
      <c r="L24" s="5">
        <f t="shared" si="4"/>
        <v>0.86979369160572018</v>
      </c>
      <c r="M24" s="5">
        <f t="shared" si="7"/>
        <v>0</v>
      </c>
      <c r="N24" s="5">
        <f t="shared" si="8"/>
        <v>1550.3</v>
      </c>
    </row>
    <row r="25" spans="1:14" ht="31.5" x14ac:dyDescent="0.25">
      <c r="A25" s="33" t="s">
        <v>748</v>
      </c>
      <c r="B25" s="34" t="s">
        <v>985</v>
      </c>
      <c r="C25" s="18" t="s">
        <v>312</v>
      </c>
      <c r="D25" s="32" t="s">
        <v>2855</v>
      </c>
      <c r="E25" s="5">
        <v>21.93</v>
      </c>
      <c r="F25" s="5">
        <v>7.8E-2</v>
      </c>
      <c r="G25" s="5">
        <f t="shared" si="5"/>
        <v>22.007999999999999</v>
      </c>
      <c r="H25" s="5">
        <v>62633.112970000002</v>
      </c>
      <c r="I25" s="5"/>
      <c r="J25" s="5">
        <f t="shared" ref="J25:J56" si="9">H25+I25</f>
        <v>62633.112970000002</v>
      </c>
      <c r="K25" s="5">
        <f t="shared" ref="K25:K56" si="10">J25/G25</f>
        <v>2845.9247987095605</v>
      </c>
      <c r="L25" s="5">
        <f t="shared" si="4"/>
        <v>0.83903407027562993</v>
      </c>
      <c r="M25" s="5">
        <f t="shared" si="7"/>
        <v>0</v>
      </c>
      <c r="N25" s="5">
        <f t="shared" si="8"/>
        <v>3640.8</v>
      </c>
    </row>
    <row r="26" spans="1:14" ht="31.5" x14ac:dyDescent="0.25">
      <c r="A26" s="33" t="s">
        <v>748</v>
      </c>
      <c r="B26" s="34" t="s">
        <v>985</v>
      </c>
      <c r="C26" s="18" t="s">
        <v>313</v>
      </c>
      <c r="D26" s="32" t="s">
        <v>1076</v>
      </c>
      <c r="E26" s="5">
        <v>16.084</v>
      </c>
      <c r="F26" s="5">
        <v>4.7E-2</v>
      </c>
      <c r="G26" s="5">
        <f t="shared" si="5"/>
        <v>16.131</v>
      </c>
      <c r="H26" s="5">
        <v>23972.028760000005</v>
      </c>
      <c r="I26" s="5"/>
      <c r="J26" s="5">
        <f t="shared" si="9"/>
        <v>23972.028760000005</v>
      </c>
      <c r="K26" s="5">
        <f t="shared" si="10"/>
        <v>1486.0844808133411</v>
      </c>
      <c r="L26" s="5">
        <f t="shared" si="4"/>
        <v>0.43812665439214687</v>
      </c>
      <c r="M26" s="5">
        <f t="shared" si="7"/>
        <v>0</v>
      </c>
      <c r="N26" s="5">
        <f t="shared" si="8"/>
        <v>20217.099999999999</v>
      </c>
    </row>
    <row r="27" spans="1:14" ht="31.5" x14ac:dyDescent="0.25">
      <c r="A27" s="33" t="s">
        <v>748</v>
      </c>
      <c r="B27" s="34" t="s">
        <v>984</v>
      </c>
      <c r="C27" s="18" t="s">
        <v>314</v>
      </c>
      <c r="D27" s="32" t="s">
        <v>2856</v>
      </c>
      <c r="E27" s="5">
        <v>5.3540000000000001</v>
      </c>
      <c r="F27" s="5">
        <v>1.9E-2</v>
      </c>
      <c r="G27" s="5">
        <f t="shared" si="5"/>
        <v>5.3730000000000002</v>
      </c>
      <c r="H27" s="5">
        <v>9652.2164200000007</v>
      </c>
      <c r="I27" s="5"/>
      <c r="J27" s="5">
        <f t="shared" si="9"/>
        <v>9652.2164200000007</v>
      </c>
      <c r="K27" s="5">
        <f t="shared" si="10"/>
        <v>1796.4296333519449</v>
      </c>
      <c r="L27" s="5">
        <f t="shared" si="4"/>
        <v>0.52962245099325378</v>
      </c>
      <c r="M27" s="5">
        <f t="shared" si="7"/>
        <v>0</v>
      </c>
      <c r="N27" s="5">
        <f t="shared" si="8"/>
        <v>5400</v>
      </c>
    </row>
    <row r="28" spans="1:14" ht="31.5" x14ac:dyDescent="0.25">
      <c r="A28" s="33" t="s">
        <v>748</v>
      </c>
      <c r="B28" s="34" t="s">
        <v>984</v>
      </c>
      <c r="C28" s="18" t="s">
        <v>315</v>
      </c>
      <c r="D28" s="32" t="s">
        <v>2793</v>
      </c>
      <c r="E28" s="5">
        <v>5.49</v>
      </c>
      <c r="F28" s="5">
        <v>2.3E-2</v>
      </c>
      <c r="G28" s="5">
        <f t="shared" si="5"/>
        <v>5.5129999999999999</v>
      </c>
      <c r="H28" s="5">
        <v>19941.793889999997</v>
      </c>
      <c r="I28" s="5"/>
      <c r="J28" s="5">
        <f t="shared" si="9"/>
        <v>19941.793889999997</v>
      </c>
      <c r="K28" s="5">
        <f t="shared" si="10"/>
        <v>3617.2308888082707</v>
      </c>
      <c r="L28" s="5">
        <f t="shared" si="4"/>
        <v>1.0664301309506496</v>
      </c>
      <c r="M28" s="5">
        <f t="shared" si="7"/>
        <v>0</v>
      </c>
      <c r="N28" s="5">
        <f t="shared" si="8"/>
        <v>0</v>
      </c>
    </row>
    <row r="29" spans="1:14" ht="31.5" x14ac:dyDescent="0.25">
      <c r="A29" s="33" t="s">
        <v>748</v>
      </c>
      <c r="B29" s="34" t="s">
        <v>984</v>
      </c>
      <c r="C29" s="18" t="s">
        <v>316</v>
      </c>
      <c r="D29" s="32" t="s">
        <v>1078</v>
      </c>
      <c r="E29" s="5">
        <v>12.834</v>
      </c>
      <c r="F29" s="5">
        <v>0.04</v>
      </c>
      <c r="G29" s="5">
        <f t="shared" si="5"/>
        <v>12.873999999999999</v>
      </c>
      <c r="H29" s="5">
        <v>25007.298439999999</v>
      </c>
      <c r="I29" s="5"/>
      <c r="J29" s="5">
        <f t="shared" si="9"/>
        <v>25007.298439999999</v>
      </c>
      <c r="K29" s="5">
        <f t="shared" si="10"/>
        <v>1942.4653130340221</v>
      </c>
      <c r="L29" s="5">
        <f t="shared" si="4"/>
        <v>0.57267661418993421</v>
      </c>
      <c r="M29" s="5">
        <f t="shared" si="7"/>
        <v>0</v>
      </c>
      <c r="N29" s="5">
        <f t="shared" si="8"/>
        <v>11434.7</v>
      </c>
    </row>
    <row r="30" spans="1:14" ht="31.5" x14ac:dyDescent="0.25">
      <c r="A30" s="33" t="s">
        <v>748</v>
      </c>
      <c r="B30" s="34" t="s">
        <v>984</v>
      </c>
      <c r="C30" s="18" t="s">
        <v>317</v>
      </c>
      <c r="D30" s="32" t="s">
        <v>1079</v>
      </c>
      <c r="E30" s="5">
        <v>7.1719999999999997</v>
      </c>
      <c r="F30" s="5">
        <v>4.5999999999999999E-2</v>
      </c>
      <c r="G30" s="5">
        <f t="shared" si="5"/>
        <v>7.218</v>
      </c>
      <c r="H30" s="5">
        <v>14364.337009999999</v>
      </c>
      <c r="I30" s="5"/>
      <c r="J30" s="5">
        <f t="shared" si="9"/>
        <v>14364.337009999999</v>
      </c>
      <c r="K30" s="5">
        <f t="shared" si="10"/>
        <v>1990.0716278747575</v>
      </c>
      <c r="L30" s="5">
        <f t="shared" si="4"/>
        <v>0.58671188319274026</v>
      </c>
      <c r="M30" s="5">
        <f t="shared" si="7"/>
        <v>0</v>
      </c>
      <c r="N30" s="5">
        <f t="shared" si="8"/>
        <v>6136.1</v>
      </c>
    </row>
    <row r="31" spans="1:14" ht="31.5" x14ac:dyDescent="0.25">
      <c r="A31" s="33" t="s">
        <v>748</v>
      </c>
      <c r="B31" s="34" t="s">
        <v>984</v>
      </c>
      <c r="C31" s="18" t="s">
        <v>318</v>
      </c>
      <c r="D31" s="32" t="s">
        <v>1080</v>
      </c>
      <c r="E31" s="5">
        <v>7.9219999999999997</v>
      </c>
      <c r="F31" s="5">
        <v>2.9000000000000001E-2</v>
      </c>
      <c r="G31" s="5">
        <f t="shared" si="5"/>
        <v>7.9509999999999996</v>
      </c>
      <c r="H31" s="5">
        <v>11845.898160000001</v>
      </c>
      <c r="I31" s="5"/>
      <c r="J31" s="5">
        <f t="shared" si="9"/>
        <v>11845.898160000001</v>
      </c>
      <c r="K31" s="5">
        <f t="shared" si="10"/>
        <v>1489.8626789083137</v>
      </c>
      <c r="L31" s="5">
        <f t="shared" si="4"/>
        <v>0.43924054079117253</v>
      </c>
      <c r="M31" s="5">
        <f t="shared" si="7"/>
        <v>0</v>
      </c>
      <c r="N31" s="5">
        <f t="shared" si="8"/>
        <v>9941</v>
      </c>
    </row>
    <row r="32" spans="1:14" ht="31.5" customHeight="1" x14ac:dyDescent="0.25">
      <c r="A32" s="33" t="s">
        <v>748</v>
      </c>
      <c r="B32" s="34" t="s">
        <v>984</v>
      </c>
      <c r="C32" s="18" t="s">
        <v>467</v>
      </c>
      <c r="D32" s="32" t="s">
        <v>1081</v>
      </c>
      <c r="E32" s="5">
        <v>11.56</v>
      </c>
      <c r="F32" s="5">
        <v>1.4E-2</v>
      </c>
      <c r="G32" s="5">
        <f t="shared" si="5"/>
        <v>11.574</v>
      </c>
      <c r="H32" s="5">
        <v>16199.684690000002</v>
      </c>
      <c r="I32" s="5"/>
      <c r="J32" s="5">
        <f t="shared" si="9"/>
        <v>16199.684690000002</v>
      </c>
      <c r="K32" s="5">
        <f t="shared" si="10"/>
        <v>1399.6617150509765</v>
      </c>
      <c r="L32" s="5">
        <f t="shared" si="4"/>
        <v>0.41264753949952798</v>
      </c>
      <c r="M32" s="5">
        <f t="shared" si="7"/>
        <v>0</v>
      </c>
      <c r="N32" s="5">
        <f t="shared" si="8"/>
        <v>15306</v>
      </c>
    </row>
    <row r="33" spans="1:14" ht="31.5" x14ac:dyDescent="0.25">
      <c r="A33" s="33" t="s">
        <v>748</v>
      </c>
      <c r="B33" s="34" t="s">
        <v>984</v>
      </c>
      <c r="C33" s="18" t="s">
        <v>468</v>
      </c>
      <c r="D33" s="32" t="s">
        <v>2857</v>
      </c>
      <c r="E33" s="5">
        <v>16.349</v>
      </c>
      <c r="F33" s="5">
        <v>0.13300000000000001</v>
      </c>
      <c r="G33" s="5">
        <f t="shared" si="5"/>
        <v>16.481999999999999</v>
      </c>
      <c r="H33" s="5">
        <v>42943.439829999996</v>
      </c>
      <c r="I33" s="5">
        <f>(-366.329)*0.6</f>
        <v>-219.79740000000001</v>
      </c>
      <c r="J33" s="5">
        <f t="shared" si="9"/>
        <v>42723.642429999993</v>
      </c>
      <c r="K33" s="5">
        <f t="shared" si="10"/>
        <v>2592.1394509161505</v>
      </c>
      <c r="L33" s="5">
        <f t="shared" si="4"/>
        <v>0.76421320591829589</v>
      </c>
      <c r="M33" s="5">
        <f t="shared" si="7"/>
        <v>0</v>
      </c>
      <c r="N33" s="5">
        <f t="shared" si="8"/>
        <v>6073</v>
      </c>
    </row>
    <row r="34" spans="1:14" ht="31.5" customHeight="1" x14ac:dyDescent="0.25">
      <c r="A34" s="33" t="s">
        <v>748</v>
      </c>
      <c r="B34" s="34" t="s">
        <v>984</v>
      </c>
      <c r="C34" s="18" t="s">
        <v>469</v>
      </c>
      <c r="D34" s="32" t="s">
        <v>1083</v>
      </c>
      <c r="E34" s="5">
        <v>4.1609999999999996</v>
      </c>
      <c r="F34" s="5">
        <v>1.0999999999999999E-2</v>
      </c>
      <c r="G34" s="5">
        <f t="shared" si="5"/>
        <v>4.1719999999999997</v>
      </c>
      <c r="H34" s="5">
        <v>24212.577679999999</v>
      </c>
      <c r="I34" s="5"/>
      <c r="J34" s="5">
        <f t="shared" si="9"/>
        <v>24212.577679999999</v>
      </c>
      <c r="K34" s="5">
        <f t="shared" si="10"/>
        <v>5803.5900479386382</v>
      </c>
      <c r="L34" s="5">
        <f t="shared" si="4"/>
        <v>1.711011402107691</v>
      </c>
      <c r="M34" s="5">
        <f t="shared" si="7"/>
        <v>4323.2</v>
      </c>
      <c r="N34" s="5">
        <f t="shared" si="8"/>
        <v>0</v>
      </c>
    </row>
    <row r="35" spans="1:14" ht="15.75" x14ac:dyDescent="0.25">
      <c r="A35" s="33" t="s">
        <v>748</v>
      </c>
      <c r="B35" s="34" t="s">
        <v>984</v>
      </c>
      <c r="C35" s="18" t="s">
        <v>510</v>
      </c>
      <c r="D35" s="32" t="s">
        <v>2365</v>
      </c>
      <c r="E35" s="5">
        <v>13.423999999999999</v>
      </c>
      <c r="F35" s="5">
        <v>6.3E-2</v>
      </c>
      <c r="G35" s="5">
        <f t="shared" si="5"/>
        <v>13.487</v>
      </c>
      <c r="H35" s="5">
        <v>35730.745699999999</v>
      </c>
      <c r="I35" s="5">
        <f>(1804.842)*0.6</f>
        <v>1082.9051999999999</v>
      </c>
      <c r="J35" s="5">
        <f t="shared" si="9"/>
        <v>36813.650900000001</v>
      </c>
      <c r="K35" s="5">
        <f t="shared" si="10"/>
        <v>2729.5655742566914</v>
      </c>
      <c r="L35" s="5">
        <f t="shared" si="4"/>
        <v>0.80472910418830568</v>
      </c>
      <c r="M35" s="5">
        <f t="shared" si="7"/>
        <v>0</v>
      </c>
      <c r="N35" s="5">
        <f t="shared" si="8"/>
        <v>3486.7</v>
      </c>
    </row>
    <row r="36" spans="1:14" ht="31.5" x14ac:dyDescent="0.25">
      <c r="A36" s="33" t="s">
        <v>748</v>
      </c>
      <c r="B36" s="34" t="s">
        <v>985</v>
      </c>
      <c r="C36" s="18" t="s">
        <v>511</v>
      </c>
      <c r="D36" s="32" t="s">
        <v>2858</v>
      </c>
      <c r="E36" s="5">
        <v>11.215</v>
      </c>
      <c r="F36" s="5">
        <v>2.1000000000000001E-2</v>
      </c>
      <c r="G36" s="5">
        <f t="shared" si="5"/>
        <v>11.236000000000001</v>
      </c>
      <c r="H36" s="5">
        <v>30081.373329999999</v>
      </c>
      <c r="I36" s="5"/>
      <c r="J36" s="5">
        <f t="shared" si="9"/>
        <v>30081.373329999999</v>
      </c>
      <c r="K36" s="5">
        <f t="shared" si="10"/>
        <v>2677.23151744393</v>
      </c>
      <c r="L36" s="5">
        <f t="shared" si="4"/>
        <v>0.78930000475406992</v>
      </c>
      <c r="M36" s="5">
        <f t="shared" si="7"/>
        <v>0</v>
      </c>
      <c r="N36" s="5">
        <f t="shared" si="8"/>
        <v>3375.2</v>
      </c>
    </row>
    <row r="37" spans="1:14" ht="31.5" x14ac:dyDescent="0.25">
      <c r="A37" s="33" t="s">
        <v>748</v>
      </c>
      <c r="B37" s="34" t="s">
        <v>985</v>
      </c>
      <c r="C37" s="18" t="s">
        <v>512</v>
      </c>
      <c r="D37" s="32" t="s">
        <v>1086</v>
      </c>
      <c r="E37" s="5">
        <v>9.6549999999999994</v>
      </c>
      <c r="F37" s="5">
        <v>6.0999999999999999E-2</v>
      </c>
      <c r="G37" s="5">
        <f t="shared" si="5"/>
        <v>9.7159999999999993</v>
      </c>
      <c r="H37" s="5">
        <v>15394.452689999998</v>
      </c>
      <c r="I37" s="5"/>
      <c r="J37" s="5">
        <f t="shared" si="9"/>
        <v>15394.452689999998</v>
      </c>
      <c r="K37" s="5">
        <f t="shared" si="10"/>
        <v>1584.4434633594071</v>
      </c>
      <c r="L37" s="5">
        <f t="shared" si="4"/>
        <v>0.46712479851430211</v>
      </c>
      <c r="M37" s="5">
        <f t="shared" si="7"/>
        <v>0</v>
      </c>
      <c r="N37" s="5">
        <f t="shared" si="8"/>
        <v>11412.6</v>
      </c>
    </row>
    <row r="38" spans="1:14" ht="31.5" x14ac:dyDescent="0.25">
      <c r="A38" s="33" t="s">
        <v>748</v>
      </c>
      <c r="B38" s="34" t="s">
        <v>984</v>
      </c>
      <c r="C38" s="18" t="s">
        <v>513</v>
      </c>
      <c r="D38" s="32" t="s">
        <v>1087</v>
      </c>
      <c r="E38" s="5">
        <v>11.239000000000001</v>
      </c>
      <c r="F38" s="5">
        <v>6.3E-2</v>
      </c>
      <c r="G38" s="5">
        <f t="shared" si="5"/>
        <v>11.302000000000001</v>
      </c>
      <c r="H38" s="5">
        <v>21911.847829999999</v>
      </c>
      <c r="I38" s="5"/>
      <c r="J38" s="5">
        <f t="shared" si="9"/>
        <v>21911.847829999999</v>
      </c>
      <c r="K38" s="5">
        <f t="shared" si="10"/>
        <v>1938.7584347903023</v>
      </c>
      <c r="L38" s="5">
        <f t="shared" si="4"/>
        <v>0.57158375427239361</v>
      </c>
      <c r="M38" s="5">
        <f t="shared" si="7"/>
        <v>0</v>
      </c>
      <c r="N38" s="5">
        <f t="shared" si="8"/>
        <v>10072</v>
      </c>
    </row>
    <row r="39" spans="1:14" ht="31.5" x14ac:dyDescent="0.25">
      <c r="A39" s="33" t="s">
        <v>748</v>
      </c>
      <c r="B39" s="34" t="s">
        <v>984</v>
      </c>
      <c r="C39" s="18" t="s">
        <v>514</v>
      </c>
      <c r="D39" s="32" t="s">
        <v>1088</v>
      </c>
      <c r="E39" s="5">
        <v>7.6470000000000002</v>
      </c>
      <c r="F39" s="5">
        <v>4.3999999999999997E-2</v>
      </c>
      <c r="G39" s="5">
        <f t="shared" si="5"/>
        <v>7.6909999999999998</v>
      </c>
      <c r="H39" s="5">
        <v>21135.692870000003</v>
      </c>
      <c r="I39" s="5"/>
      <c r="J39" s="5">
        <f t="shared" si="9"/>
        <v>21135.692870000003</v>
      </c>
      <c r="K39" s="5">
        <f t="shared" si="10"/>
        <v>2748.1072513327272</v>
      </c>
      <c r="L39" s="5">
        <f t="shared" si="4"/>
        <v>0.81019555178871194</v>
      </c>
      <c r="M39" s="5">
        <f t="shared" si="7"/>
        <v>0</v>
      </c>
      <c r="N39" s="5">
        <f t="shared" si="8"/>
        <v>1874.2</v>
      </c>
    </row>
    <row r="40" spans="1:14" ht="15.75" x14ac:dyDescent="0.25">
      <c r="A40" s="33" t="s">
        <v>748</v>
      </c>
      <c r="B40" s="34" t="s">
        <v>983</v>
      </c>
      <c r="C40" s="18" t="s">
        <v>515</v>
      </c>
      <c r="D40" s="32" t="s">
        <v>1089</v>
      </c>
      <c r="E40" s="5">
        <v>18.696999999999999</v>
      </c>
      <c r="F40" s="5">
        <v>9.2999999999999999E-2</v>
      </c>
      <c r="G40" s="5">
        <f t="shared" si="5"/>
        <v>18.79</v>
      </c>
      <c r="H40" s="5">
        <v>47329.892500000002</v>
      </c>
      <c r="I40" s="5"/>
      <c r="J40" s="5">
        <f t="shared" si="9"/>
        <v>47329.892500000002</v>
      </c>
      <c r="K40" s="5">
        <f t="shared" si="10"/>
        <v>2518.8873070782333</v>
      </c>
      <c r="L40" s="5">
        <f t="shared" si="4"/>
        <v>0.74261704693735153</v>
      </c>
      <c r="M40" s="5">
        <f t="shared" si="7"/>
        <v>0</v>
      </c>
      <c r="N40" s="5">
        <f t="shared" si="8"/>
        <v>8024.5</v>
      </c>
    </row>
    <row r="41" spans="1:14" ht="31.5" x14ac:dyDescent="0.25">
      <c r="A41" s="33" t="s">
        <v>748</v>
      </c>
      <c r="B41" s="34" t="s">
        <v>985</v>
      </c>
      <c r="C41" s="18" t="s">
        <v>829</v>
      </c>
      <c r="D41" s="32" t="s">
        <v>1090</v>
      </c>
      <c r="E41" s="5">
        <v>23.937999999999999</v>
      </c>
      <c r="F41" s="5">
        <v>8.5000000000000006E-2</v>
      </c>
      <c r="G41" s="5">
        <f t="shared" si="5"/>
        <v>24.023</v>
      </c>
      <c r="H41" s="5">
        <v>89696.703179999997</v>
      </c>
      <c r="I41" s="5">
        <f>(-482)*0.6</f>
        <v>-289.2</v>
      </c>
      <c r="J41" s="5">
        <f t="shared" si="9"/>
        <v>89407.50318</v>
      </c>
      <c r="K41" s="5">
        <f t="shared" si="10"/>
        <v>3721.7459592890145</v>
      </c>
      <c r="L41" s="5">
        <f t="shared" si="4"/>
        <v>1.0972432097187061</v>
      </c>
      <c r="M41" s="5">
        <f t="shared" si="7"/>
        <v>0</v>
      </c>
      <c r="N41" s="5">
        <f t="shared" si="8"/>
        <v>0</v>
      </c>
    </row>
    <row r="42" spans="1:14" s="13" customFormat="1" ht="15.75" x14ac:dyDescent="0.25">
      <c r="A42" s="33" t="s">
        <v>748</v>
      </c>
      <c r="B42" s="34" t="s">
        <v>986</v>
      </c>
      <c r="C42" s="30" t="s">
        <v>971</v>
      </c>
      <c r="D42" s="32" t="s">
        <v>2859</v>
      </c>
      <c r="E42" s="5">
        <v>388.20400000000001</v>
      </c>
      <c r="F42" s="5">
        <v>6.2279999999999998</v>
      </c>
      <c r="G42" s="5">
        <f t="shared" si="5"/>
        <v>394.43200000000002</v>
      </c>
      <c r="H42" s="5">
        <v>1989424.0454900002</v>
      </c>
      <c r="I42" s="5"/>
      <c r="J42" s="5">
        <f t="shared" si="9"/>
        <v>1989424.0454900002</v>
      </c>
      <c r="K42" s="5">
        <f t="shared" si="10"/>
        <v>5043.7693835439313</v>
      </c>
      <c r="L42" s="5">
        <f t="shared" si="4"/>
        <v>1.4870014686703439</v>
      </c>
      <c r="M42" s="5">
        <f t="shared" si="7"/>
        <v>258880</v>
      </c>
      <c r="N42" s="5">
        <f t="shared" si="8"/>
        <v>0</v>
      </c>
    </row>
    <row r="43" spans="1:14" s="13" customFormat="1" ht="31.5" customHeight="1" x14ac:dyDescent="0.25">
      <c r="A43" s="33" t="s">
        <v>748</v>
      </c>
      <c r="B43" s="34" t="s">
        <v>986</v>
      </c>
      <c r="C43" s="30" t="s">
        <v>972</v>
      </c>
      <c r="D43" s="32" t="s">
        <v>2860</v>
      </c>
      <c r="E43" s="5">
        <v>43.609000000000002</v>
      </c>
      <c r="F43" s="5">
        <v>0.20699999999999999</v>
      </c>
      <c r="G43" s="5">
        <f t="shared" si="5"/>
        <v>43.816000000000003</v>
      </c>
      <c r="H43" s="5">
        <v>103182.53922000002</v>
      </c>
      <c r="I43" s="5"/>
      <c r="J43" s="5">
        <f t="shared" si="9"/>
        <v>103182.53922000002</v>
      </c>
      <c r="K43" s="5">
        <f t="shared" si="10"/>
        <v>2354.9054961657844</v>
      </c>
      <c r="L43" s="5">
        <f t="shared" si="4"/>
        <v>0.69427201465700916</v>
      </c>
      <c r="M43" s="5">
        <f t="shared" si="7"/>
        <v>0</v>
      </c>
      <c r="N43" s="5">
        <f t="shared" si="8"/>
        <v>24460.2</v>
      </c>
    </row>
    <row r="44" spans="1:14" s="13" customFormat="1" ht="31.5" x14ac:dyDescent="0.25">
      <c r="A44" s="33" t="s">
        <v>748</v>
      </c>
      <c r="B44" s="34" t="s">
        <v>985</v>
      </c>
      <c r="C44" s="30" t="s">
        <v>987</v>
      </c>
      <c r="D44" s="32" t="s">
        <v>2861</v>
      </c>
      <c r="E44" s="5">
        <v>17.251000000000001</v>
      </c>
      <c r="F44" s="5">
        <v>0.108</v>
      </c>
      <c r="G44" s="5">
        <f t="shared" si="5"/>
        <v>17.359000000000002</v>
      </c>
      <c r="H44" s="5">
        <v>46009.717510000002</v>
      </c>
      <c r="I44" s="5"/>
      <c r="J44" s="5">
        <f t="shared" si="9"/>
        <v>46009.717510000002</v>
      </c>
      <c r="K44" s="5">
        <f t="shared" si="10"/>
        <v>2650.4820271905064</v>
      </c>
      <c r="L44" s="5">
        <f t="shared" si="4"/>
        <v>0.78141373393788216</v>
      </c>
      <c r="M44" s="5">
        <f t="shared" si="7"/>
        <v>0</v>
      </c>
      <c r="N44" s="5">
        <f t="shared" si="8"/>
        <v>5585.9</v>
      </c>
    </row>
    <row r="45" spans="1:14" s="13" customFormat="1" ht="31.5" x14ac:dyDescent="0.25">
      <c r="A45" s="33" t="s">
        <v>748</v>
      </c>
      <c r="B45" s="34" t="s">
        <v>984</v>
      </c>
      <c r="C45" s="30" t="s">
        <v>992</v>
      </c>
      <c r="D45" s="32" t="s">
        <v>2862</v>
      </c>
      <c r="E45" s="5">
        <v>7.923</v>
      </c>
      <c r="F45" s="5">
        <v>7.6999999999999999E-2</v>
      </c>
      <c r="G45" s="5">
        <f t="shared" si="5"/>
        <v>8</v>
      </c>
      <c r="H45" s="5">
        <v>13024.187580000002</v>
      </c>
      <c r="I45" s="5"/>
      <c r="J45" s="5">
        <f t="shared" si="9"/>
        <v>13024.187580000002</v>
      </c>
      <c r="K45" s="5">
        <f t="shared" si="10"/>
        <v>1628.0234475000002</v>
      </c>
      <c r="L45" s="5">
        <f t="shared" si="4"/>
        <v>0.47997302679236803</v>
      </c>
      <c r="M45" s="5">
        <f t="shared" si="7"/>
        <v>0</v>
      </c>
      <c r="N45" s="5">
        <f t="shared" si="8"/>
        <v>9118</v>
      </c>
    </row>
    <row r="46" spans="1:14" s="13" customFormat="1" ht="31.5" customHeight="1" x14ac:dyDescent="0.25">
      <c r="A46" s="33" t="s">
        <v>748</v>
      </c>
      <c r="B46" s="34" t="s">
        <v>985</v>
      </c>
      <c r="C46" s="30" t="s">
        <v>1019</v>
      </c>
      <c r="D46" s="32" t="s">
        <v>2863</v>
      </c>
      <c r="E46" s="5">
        <v>21.449000000000002</v>
      </c>
      <c r="F46" s="5">
        <v>8.1000000000000003E-2</v>
      </c>
      <c r="G46" s="5">
        <f t="shared" si="5"/>
        <v>21.53</v>
      </c>
      <c r="H46" s="5">
        <v>59558.103819999997</v>
      </c>
      <c r="I46" s="5"/>
      <c r="J46" s="5">
        <f t="shared" si="9"/>
        <v>59558.103819999997</v>
      </c>
      <c r="K46" s="5">
        <f t="shared" si="10"/>
        <v>2766.2844319554106</v>
      </c>
      <c r="L46" s="5">
        <f t="shared" ref="L46:L77" si="11">K46/$K$1659</f>
        <v>0.81555453873415085</v>
      </c>
      <c r="M46" s="5">
        <f t="shared" si="7"/>
        <v>0</v>
      </c>
      <c r="N46" s="5">
        <f t="shared" si="8"/>
        <v>4933.5</v>
      </c>
    </row>
    <row r="47" spans="1:14" s="13" customFormat="1" ht="31.5" customHeight="1" x14ac:dyDescent="0.25">
      <c r="A47" s="33" t="s">
        <v>748</v>
      </c>
      <c r="B47" s="34" t="s">
        <v>986</v>
      </c>
      <c r="C47" s="30" t="s">
        <v>1020</v>
      </c>
      <c r="D47" s="32" t="s">
        <v>2864</v>
      </c>
      <c r="E47" s="5">
        <v>48.951999999999998</v>
      </c>
      <c r="F47" s="5">
        <v>0.20799999999999999</v>
      </c>
      <c r="G47" s="5">
        <f t="shared" si="5"/>
        <v>49.16</v>
      </c>
      <c r="H47" s="5">
        <v>196519.72297</v>
      </c>
      <c r="I47" s="5"/>
      <c r="J47" s="5">
        <f t="shared" si="9"/>
        <v>196519.72297</v>
      </c>
      <c r="K47" s="5">
        <f t="shared" si="10"/>
        <v>3997.553355777055</v>
      </c>
      <c r="L47" s="5">
        <f t="shared" si="11"/>
        <v>1.1785566030284713</v>
      </c>
      <c r="M47" s="5">
        <f t="shared" ref="M47:M77" si="12">ROUND(IF(L47&lt;110%,0,(K47-$K$1659*1.1)*0.5)*G47,1)</f>
        <v>6549.5</v>
      </c>
      <c r="N47" s="5">
        <f t="shared" ref="N47:N77" si="13">ROUND(IF(L47&gt;90%,0,(-K47+$K$1659*0.9)*0.8)*G47,1)</f>
        <v>0</v>
      </c>
    </row>
    <row r="48" spans="1:14" s="13" customFormat="1" ht="31.5" x14ac:dyDescent="0.25">
      <c r="A48" s="33" t="s">
        <v>748</v>
      </c>
      <c r="B48" s="34" t="s">
        <v>985</v>
      </c>
      <c r="C48" s="30" t="s">
        <v>1026</v>
      </c>
      <c r="D48" s="32" t="s">
        <v>2865</v>
      </c>
      <c r="E48" s="5">
        <v>6.6950000000000003</v>
      </c>
      <c r="F48" s="5">
        <v>2.8000000000000001E-2</v>
      </c>
      <c r="G48" s="5">
        <f t="shared" si="5"/>
        <v>6.7229999999999999</v>
      </c>
      <c r="H48" s="5">
        <v>6928.6161599999996</v>
      </c>
      <c r="I48" s="5"/>
      <c r="J48" s="5">
        <f t="shared" si="9"/>
        <v>6928.6161599999996</v>
      </c>
      <c r="K48" s="5">
        <f t="shared" si="10"/>
        <v>1030.5839892904953</v>
      </c>
      <c r="L48" s="5">
        <f t="shared" si="11"/>
        <v>0.3038362361814278</v>
      </c>
      <c r="M48" s="5">
        <f t="shared" si="12"/>
        <v>0</v>
      </c>
      <c r="N48" s="5">
        <f t="shared" si="13"/>
        <v>10875.8</v>
      </c>
    </row>
    <row r="49" spans="1:14" s="13" customFormat="1" ht="31.5" x14ac:dyDescent="0.25">
      <c r="A49" s="33" t="s">
        <v>748</v>
      </c>
      <c r="B49" s="34" t="s">
        <v>984</v>
      </c>
      <c r="C49" s="30" t="s">
        <v>1054</v>
      </c>
      <c r="D49" s="32" t="s">
        <v>2866</v>
      </c>
      <c r="E49" s="5">
        <v>7.9290000000000003</v>
      </c>
      <c r="F49" s="5">
        <v>3.5000000000000003E-2</v>
      </c>
      <c r="G49" s="5">
        <f t="shared" si="5"/>
        <v>7.9640000000000004</v>
      </c>
      <c r="H49" s="5">
        <v>17534.266500000002</v>
      </c>
      <c r="I49" s="5"/>
      <c r="J49" s="5">
        <f t="shared" si="9"/>
        <v>17534.266500000002</v>
      </c>
      <c r="K49" s="5">
        <f t="shared" si="10"/>
        <v>2201.6909216474132</v>
      </c>
      <c r="L49" s="5">
        <f t="shared" si="11"/>
        <v>0.64910137341519292</v>
      </c>
      <c r="M49" s="5">
        <f t="shared" si="12"/>
        <v>0</v>
      </c>
      <c r="N49" s="5">
        <f t="shared" si="13"/>
        <v>5422</v>
      </c>
    </row>
    <row r="50" spans="1:14" s="13" customFormat="1" ht="31.5" x14ac:dyDescent="0.25">
      <c r="A50" s="33" t="s">
        <v>748</v>
      </c>
      <c r="B50" s="34" t="s">
        <v>984</v>
      </c>
      <c r="C50" s="30" t="s">
        <v>1099</v>
      </c>
      <c r="D50" s="32" t="s">
        <v>1100</v>
      </c>
      <c r="E50" s="84">
        <v>9.3040000000000003</v>
      </c>
      <c r="F50" s="84">
        <v>7.5999999999999998E-2</v>
      </c>
      <c r="G50" s="84">
        <f t="shared" ref="G50:G77" si="14">F50+E50</f>
        <v>9.3800000000000008</v>
      </c>
      <c r="H50" s="84">
        <v>21108.205000000002</v>
      </c>
      <c r="I50" s="84"/>
      <c r="J50" s="5">
        <f t="shared" si="9"/>
        <v>21108.205000000002</v>
      </c>
      <c r="K50" s="5">
        <f t="shared" si="10"/>
        <v>2250.3416844349681</v>
      </c>
      <c r="L50" s="5">
        <f t="shared" si="11"/>
        <v>0.66344456601893464</v>
      </c>
      <c r="M50" s="5">
        <f t="shared" si="12"/>
        <v>0</v>
      </c>
      <c r="N50" s="5">
        <f t="shared" si="13"/>
        <v>6021</v>
      </c>
    </row>
    <row r="51" spans="1:14" s="13" customFormat="1" ht="15.75" x14ac:dyDescent="0.25">
      <c r="A51" s="33" t="s">
        <v>748</v>
      </c>
      <c r="B51" s="34" t="s">
        <v>983</v>
      </c>
      <c r="C51" s="30" t="s">
        <v>1101</v>
      </c>
      <c r="D51" s="32" t="s">
        <v>1102</v>
      </c>
      <c r="E51" s="84">
        <v>42.953000000000003</v>
      </c>
      <c r="F51" s="84">
        <v>9.8000000000000004E-2</v>
      </c>
      <c r="G51" s="84">
        <f t="shared" si="14"/>
        <v>43.051000000000002</v>
      </c>
      <c r="H51" s="84">
        <v>88721.859190000017</v>
      </c>
      <c r="I51" s="84"/>
      <c r="J51" s="5">
        <f t="shared" si="9"/>
        <v>88721.859190000017</v>
      </c>
      <c r="K51" s="5">
        <f t="shared" si="10"/>
        <v>2060.8547813058935</v>
      </c>
      <c r="L51" s="5">
        <f t="shared" si="11"/>
        <v>0.60758013570496394</v>
      </c>
      <c r="M51" s="5">
        <f t="shared" si="12"/>
        <v>0</v>
      </c>
      <c r="N51" s="5">
        <f t="shared" si="13"/>
        <v>34160.5</v>
      </c>
    </row>
    <row r="52" spans="1:14" s="13" customFormat="1" ht="31.5" x14ac:dyDescent="0.25">
      <c r="A52" s="33" t="s">
        <v>748</v>
      </c>
      <c r="B52" s="34" t="s">
        <v>985</v>
      </c>
      <c r="C52" s="30" t="s">
        <v>1103</v>
      </c>
      <c r="D52" s="32" t="s">
        <v>1104</v>
      </c>
      <c r="E52" s="84">
        <v>13.871</v>
      </c>
      <c r="F52" s="84">
        <v>5.1999999999999998E-2</v>
      </c>
      <c r="G52" s="84">
        <f t="shared" si="14"/>
        <v>13.923</v>
      </c>
      <c r="H52" s="84">
        <v>22386.016080000005</v>
      </c>
      <c r="I52" s="84"/>
      <c r="J52" s="5">
        <f t="shared" si="9"/>
        <v>22386.016080000005</v>
      </c>
      <c r="K52" s="5">
        <f t="shared" si="10"/>
        <v>1607.8442921784101</v>
      </c>
      <c r="L52" s="5">
        <f t="shared" si="11"/>
        <v>0.47402381870652016</v>
      </c>
      <c r="M52" s="5">
        <f t="shared" si="12"/>
        <v>0</v>
      </c>
      <c r="N52" s="5">
        <f t="shared" si="13"/>
        <v>16093.6</v>
      </c>
    </row>
    <row r="53" spans="1:14" s="13" customFormat="1" ht="15.75" x14ac:dyDescent="0.25">
      <c r="A53" s="33" t="s">
        <v>748</v>
      </c>
      <c r="B53" s="34" t="s">
        <v>983</v>
      </c>
      <c r="C53" s="30" t="s">
        <v>1105</v>
      </c>
      <c r="D53" s="32" t="s">
        <v>1106</v>
      </c>
      <c r="E53" s="84">
        <v>44.192</v>
      </c>
      <c r="F53" s="84">
        <v>0.224</v>
      </c>
      <c r="G53" s="84">
        <f t="shared" si="14"/>
        <v>44.415999999999997</v>
      </c>
      <c r="H53" s="84">
        <v>158768.75147999998</v>
      </c>
      <c r="I53" s="84">
        <f>(-52579.8)*0.6</f>
        <v>-31547.88</v>
      </c>
      <c r="J53" s="5">
        <f t="shared" si="9"/>
        <v>127220.87147999997</v>
      </c>
      <c r="K53" s="5">
        <f t="shared" si="10"/>
        <v>2864.3027620677231</v>
      </c>
      <c r="L53" s="5">
        <f t="shared" si="11"/>
        <v>0.84445225188280637</v>
      </c>
      <c r="M53" s="5">
        <f t="shared" si="12"/>
        <v>0</v>
      </c>
      <c r="N53" s="5">
        <f t="shared" si="13"/>
        <v>6694.8</v>
      </c>
    </row>
    <row r="54" spans="1:14" s="13" customFormat="1" ht="31.5" x14ac:dyDescent="0.25">
      <c r="A54" s="33" t="s">
        <v>748</v>
      </c>
      <c r="B54" s="34" t="s">
        <v>984</v>
      </c>
      <c r="C54" s="30" t="s">
        <v>1107</v>
      </c>
      <c r="D54" s="32" t="s">
        <v>1108</v>
      </c>
      <c r="E54" s="84">
        <v>11.662000000000001</v>
      </c>
      <c r="F54" s="84">
        <v>0.03</v>
      </c>
      <c r="G54" s="84">
        <f t="shared" si="14"/>
        <v>11.692</v>
      </c>
      <c r="H54" s="84">
        <v>30950.282470000002</v>
      </c>
      <c r="I54" s="84"/>
      <c r="J54" s="5">
        <f t="shared" si="9"/>
        <v>30950.282470000002</v>
      </c>
      <c r="K54" s="5">
        <f t="shared" si="10"/>
        <v>2647.1332937050975</v>
      </c>
      <c r="L54" s="5">
        <f t="shared" si="11"/>
        <v>0.78042646207187749</v>
      </c>
      <c r="M54" s="5">
        <f t="shared" si="12"/>
        <v>0</v>
      </c>
      <c r="N54" s="5">
        <f t="shared" si="13"/>
        <v>3793.7</v>
      </c>
    </row>
    <row r="55" spans="1:14" s="13" customFormat="1" ht="31.5" x14ac:dyDescent="0.25">
      <c r="A55" s="33" t="s">
        <v>748</v>
      </c>
      <c r="B55" s="34" t="s">
        <v>984</v>
      </c>
      <c r="C55" s="30" t="s">
        <v>1109</v>
      </c>
      <c r="D55" s="32" t="s">
        <v>1110</v>
      </c>
      <c r="E55" s="84">
        <v>12.813000000000001</v>
      </c>
      <c r="F55" s="84">
        <v>2.3E-2</v>
      </c>
      <c r="G55" s="84">
        <f t="shared" si="14"/>
        <v>12.836</v>
      </c>
      <c r="H55" s="84">
        <v>13298.544399999999</v>
      </c>
      <c r="I55" s="84"/>
      <c r="J55" s="5">
        <f t="shared" si="9"/>
        <v>13298.544399999999</v>
      </c>
      <c r="K55" s="5">
        <f t="shared" si="10"/>
        <v>1036.0349330009349</v>
      </c>
      <c r="L55" s="5">
        <f t="shared" si="11"/>
        <v>0.30544328057356607</v>
      </c>
      <c r="M55" s="5">
        <f t="shared" si="12"/>
        <v>0</v>
      </c>
      <c r="N55" s="5">
        <f t="shared" si="13"/>
        <v>20708.900000000001</v>
      </c>
    </row>
    <row r="56" spans="1:14" s="13" customFormat="1" ht="31.5" customHeight="1" x14ac:dyDescent="0.25">
      <c r="A56" s="33" t="s">
        <v>748</v>
      </c>
      <c r="B56" s="34" t="s">
        <v>986</v>
      </c>
      <c r="C56" s="30" t="s">
        <v>1111</v>
      </c>
      <c r="D56" s="32" t="s">
        <v>1112</v>
      </c>
      <c r="E56" s="84">
        <v>32.921999999999997</v>
      </c>
      <c r="F56" s="84">
        <v>0.17599999999999999</v>
      </c>
      <c r="G56" s="84">
        <f t="shared" si="14"/>
        <v>33.097999999999999</v>
      </c>
      <c r="H56" s="84">
        <v>169182.56018000003</v>
      </c>
      <c r="I56" s="84"/>
      <c r="J56" s="5">
        <f t="shared" si="9"/>
        <v>169182.56018000003</v>
      </c>
      <c r="K56" s="5">
        <f t="shared" si="10"/>
        <v>5111.5644504199663</v>
      </c>
      <c r="L56" s="5">
        <f t="shared" si="11"/>
        <v>1.5069887750571467</v>
      </c>
      <c r="M56" s="5">
        <f t="shared" si="12"/>
        <v>22845.4</v>
      </c>
      <c r="N56" s="5">
        <f t="shared" si="13"/>
        <v>0</v>
      </c>
    </row>
    <row r="57" spans="1:14" s="13" customFormat="1" ht="31.5" x14ac:dyDescent="0.25">
      <c r="A57" s="33" t="s">
        <v>748</v>
      </c>
      <c r="B57" s="34" t="s">
        <v>985</v>
      </c>
      <c r="C57" s="30" t="s">
        <v>1113</v>
      </c>
      <c r="D57" s="32" t="s">
        <v>1114</v>
      </c>
      <c r="E57" s="84">
        <v>7.9610000000000003</v>
      </c>
      <c r="F57" s="84">
        <v>4.3999999999999997E-2</v>
      </c>
      <c r="G57" s="84">
        <f t="shared" si="14"/>
        <v>8.0050000000000008</v>
      </c>
      <c r="H57" s="84">
        <v>10626.160309999999</v>
      </c>
      <c r="I57" s="84"/>
      <c r="J57" s="5">
        <f t="shared" ref="J57:J77" si="15">H57+I57</f>
        <v>10626.160309999999</v>
      </c>
      <c r="K57" s="5">
        <f t="shared" ref="K57:K78" si="16">J57/G57</f>
        <v>1327.4403885071829</v>
      </c>
      <c r="L57" s="5">
        <f t="shared" si="11"/>
        <v>0.39135528553757482</v>
      </c>
      <c r="M57" s="5">
        <f t="shared" si="12"/>
        <v>0</v>
      </c>
      <c r="N57" s="5">
        <f t="shared" si="13"/>
        <v>11048.7</v>
      </c>
    </row>
    <row r="58" spans="1:14" s="13" customFormat="1" ht="31.5" x14ac:dyDescent="0.25">
      <c r="A58" s="33" t="s">
        <v>748</v>
      </c>
      <c r="B58" s="34" t="s">
        <v>985</v>
      </c>
      <c r="C58" s="30" t="s">
        <v>1115</v>
      </c>
      <c r="D58" s="32" t="s">
        <v>1116</v>
      </c>
      <c r="E58" s="84">
        <v>19.974</v>
      </c>
      <c r="F58" s="84">
        <v>0.13900000000000001</v>
      </c>
      <c r="G58" s="84">
        <f t="shared" si="14"/>
        <v>20.113</v>
      </c>
      <c r="H58" s="84">
        <v>66629.182000000001</v>
      </c>
      <c r="I58" s="84"/>
      <c r="J58" s="5">
        <f t="shared" si="15"/>
        <v>66629.182000000001</v>
      </c>
      <c r="K58" s="5">
        <f t="shared" si="16"/>
        <v>3312.742107094914</v>
      </c>
      <c r="L58" s="5">
        <f t="shared" si="11"/>
        <v>0.97666090655298909</v>
      </c>
      <c r="M58" s="5">
        <f t="shared" si="12"/>
        <v>0</v>
      </c>
      <c r="N58" s="5">
        <f t="shared" si="13"/>
        <v>0</v>
      </c>
    </row>
    <row r="59" spans="1:14" s="13" customFormat="1" ht="31.5" x14ac:dyDescent="0.25">
      <c r="A59" s="33" t="s">
        <v>748</v>
      </c>
      <c r="B59" s="34" t="s">
        <v>986</v>
      </c>
      <c r="C59" s="30" t="s">
        <v>1117</v>
      </c>
      <c r="D59" s="32" t="s">
        <v>1118</v>
      </c>
      <c r="E59" s="84">
        <v>24.771000000000001</v>
      </c>
      <c r="F59" s="84">
        <v>0.248</v>
      </c>
      <c r="G59" s="84">
        <f t="shared" si="14"/>
        <v>25.019000000000002</v>
      </c>
      <c r="H59" s="84">
        <v>193785.05145999999</v>
      </c>
      <c r="I59" s="84"/>
      <c r="J59" s="5">
        <f t="shared" si="15"/>
        <v>193785.05145999999</v>
      </c>
      <c r="K59" s="5">
        <f t="shared" si="16"/>
        <v>7745.5154666453482</v>
      </c>
      <c r="L59" s="5">
        <f t="shared" si="11"/>
        <v>2.2835288449326021</v>
      </c>
      <c r="M59" s="5">
        <f t="shared" si="12"/>
        <v>50218.400000000001</v>
      </c>
      <c r="N59" s="5">
        <f t="shared" si="13"/>
        <v>0</v>
      </c>
    </row>
    <row r="60" spans="1:14" s="13" customFormat="1" ht="15.75" x14ac:dyDescent="0.25">
      <c r="A60" s="33" t="s">
        <v>748</v>
      </c>
      <c r="B60" s="34" t="s">
        <v>983</v>
      </c>
      <c r="C60" s="30" t="s">
        <v>1119</v>
      </c>
      <c r="D60" s="32" t="s">
        <v>1120</v>
      </c>
      <c r="E60" s="84">
        <v>20.669</v>
      </c>
      <c r="F60" s="84">
        <v>6.2E-2</v>
      </c>
      <c r="G60" s="84">
        <f t="shared" si="14"/>
        <v>20.731000000000002</v>
      </c>
      <c r="H60" s="84">
        <v>60260.249449999996</v>
      </c>
      <c r="I60" s="84"/>
      <c r="J60" s="5">
        <f t="shared" si="15"/>
        <v>60260.249449999996</v>
      </c>
      <c r="K60" s="5">
        <f t="shared" si="16"/>
        <v>2906.7700279774249</v>
      </c>
      <c r="L60" s="5">
        <f t="shared" si="11"/>
        <v>0.85697242915026306</v>
      </c>
      <c r="M60" s="5">
        <f t="shared" si="12"/>
        <v>0</v>
      </c>
      <c r="N60" s="5">
        <f t="shared" si="13"/>
        <v>2420.5</v>
      </c>
    </row>
    <row r="61" spans="1:14" s="13" customFormat="1" ht="31.5" x14ac:dyDescent="0.25">
      <c r="A61" s="33" t="s">
        <v>748</v>
      </c>
      <c r="B61" s="34" t="s">
        <v>986</v>
      </c>
      <c r="C61" s="30" t="s">
        <v>1121</v>
      </c>
      <c r="D61" s="32" t="s">
        <v>1122</v>
      </c>
      <c r="E61" s="84">
        <v>42.725999999999999</v>
      </c>
      <c r="F61" s="84">
        <v>7.8E-2</v>
      </c>
      <c r="G61" s="84">
        <f t="shared" si="14"/>
        <v>42.804000000000002</v>
      </c>
      <c r="H61" s="84">
        <v>102122.87328</v>
      </c>
      <c r="I61" s="84"/>
      <c r="J61" s="5">
        <f t="shared" si="15"/>
        <v>102122.87328</v>
      </c>
      <c r="K61" s="5">
        <f t="shared" si="16"/>
        <v>2385.8254667788055</v>
      </c>
      <c r="L61" s="5">
        <f t="shared" si="11"/>
        <v>0.70338782432563052</v>
      </c>
      <c r="M61" s="5">
        <f t="shared" si="12"/>
        <v>0</v>
      </c>
      <c r="N61" s="5">
        <f t="shared" si="13"/>
        <v>22836.400000000001</v>
      </c>
    </row>
    <row r="62" spans="1:14" s="13" customFormat="1" ht="31.5" x14ac:dyDescent="0.25">
      <c r="A62" s="33" t="s">
        <v>748</v>
      </c>
      <c r="B62" s="34" t="s">
        <v>985</v>
      </c>
      <c r="C62" s="30" t="s">
        <v>1123</v>
      </c>
      <c r="D62" s="32" t="s">
        <v>2867</v>
      </c>
      <c r="E62" s="84">
        <v>20.873000000000001</v>
      </c>
      <c r="F62" s="84">
        <v>0.09</v>
      </c>
      <c r="G62" s="84">
        <f t="shared" si="14"/>
        <v>20.963000000000001</v>
      </c>
      <c r="H62" s="84">
        <v>42100.654090000011</v>
      </c>
      <c r="I62" s="84"/>
      <c r="J62" s="5">
        <f t="shared" si="15"/>
        <v>42100.654090000011</v>
      </c>
      <c r="K62" s="5">
        <f t="shared" si="16"/>
        <v>2008.3315408099991</v>
      </c>
      <c r="L62" s="5">
        <f t="shared" si="11"/>
        <v>0.59209526123557588</v>
      </c>
      <c r="M62" s="5">
        <f t="shared" si="12"/>
        <v>0</v>
      </c>
      <c r="N62" s="5">
        <f t="shared" si="13"/>
        <v>17514.7</v>
      </c>
    </row>
    <row r="63" spans="1:14" s="13" customFormat="1" ht="31.5" customHeight="1" x14ac:dyDescent="0.25">
      <c r="A63" s="33" t="s">
        <v>748</v>
      </c>
      <c r="B63" s="34" t="s">
        <v>984</v>
      </c>
      <c r="C63" s="30" t="s">
        <v>1125</v>
      </c>
      <c r="D63" s="32" t="s">
        <v>1126</v>
      </c>
      <c r="E63" s="84">
        <v>9.8140000000000001</v>
      </c>
      <c r="F63" s="84">
        <v>4.2000000000000003E-2</v>
      </c>
      <c r="G63" s="84">
        <f t="shared" si="14"/>
        <v>9.8559999999999999</v>
      </c>
      <c r="H63" s="84">
        <v>13483.339550000001</v>
      </c>
      <c r="I63" s="5">
        <f>(482)*0.6</f>
        <v>289.2</v>
      </c>
      <c r="J63" s="5">
        <f t="shared" si="15"/>
        <v>13772.539550000001</v>
      </c>
      <c r="K63" s="5">
        <f t="shared" si="16"/>
        <v>1397.3761718750002</v>
      </c>
      <c r="L63" s="5">
        <f t="shared" si="11"/>
        <v>0.41197371684806522</v>
      </c>
      <c r="M63" s="5">
        <f t="shared" si="12"/>
        <v>0</v>
      </c>
      <c r="N63" s="5">
        <f t="shared" si="13"/>
        <v>13052</v>
      </c>
    </row>
    <row r="64" spans="1:14" s="13" customFormat="1" ht="31.5" x14ac:dyDescent="0.25">
      <c r="A64" s="33" t="s">
        <v>748</v>
      </c>
      <c r="B64" s="34" t="s">
        <v>984</v>
      </c>
      <c r="C64" s="30" t="s">
        <v>1127</v>
      </c>
      <c r="D64" s="32" t="s">
        <v>1128</v>
      </c>
      <c r="E64" s="84">
        <v>6.2240000000000002</v>
      </c>
      <c r="F64" s="84">
        <v>3.1E-2</v>
      </c>
      <c r="G64" s="84">
        <f t="shared" si="14"/>
        <v>6.2549999999999999</v>
      </c>
      <c r="H64" s="84">
        <v>9542.3061900000012</v>
      </c>
      <c r="I64" s="84"/>
      <c r="J64" s="5">
        <f t="shared" si="15"/>
        <v>9542.3061900000012</v>
      </c>
      <c r="K64" s="5">
        <f t="shared" si="16"/>
        <v>1525.5485515587532</v>
      </c>
      <c r="L64" s="5">
        <f t="shared" si="11"/>
        <v>0.44976143122187284</v>
      </c>
      <c r="M64" s="5">
        <f t="shared" si="12"/>
        <v>0</v>
      </c>
      <c r="N64" s="5">
        <f t="shared" si="13"/>
        <v>7641.9</v>
      </c>
    </row>
    <row r="65" spans="1:14" s="13" customFormat="1" ht="31.5" customHeight="1" x14ac:dyDescent="0.25">
      <c r="A65" s="33" t="s">
        <v>748</v>
      </c>
      <c r="B65" s="34" t="s">
        <v>985</v>
      </c>
      <c r="C65" s="30" t="s">
        <v>1129</v>
      </c>
      <c r="D65" s="32" t="s">
        <v>1130</v>
      </c>
      <c r="E65" s="84">
        <v>13.746</v>
      </c>
      <c r="F65" s="84">
        <v>4.8000000000000001E-2</v>
      </c>
      <c r="G65" s="84">
        <f t="shared" si="14"/>
        <v>13.794</v>
      </c>
      <c r="H65" s="84">
        <v>44574.759790000004</v>
      </c>
      <c r="I65" s="84"/>
      <c r="J65" s="5">
        <f t="shared" si="15"/>
        <v>44574.759790000004</v>
      </c>
      <c r="K65" s="5">
        <f t="shared" si="16"/>
        <v>3231.4600398724083</v>
      </c>
      <c r="L65" s="5">
        <f t="shared" si="11"/>
        <v>0.95269736973253627</v>
      </c>
      <c r="M65" s="5">
        <f t="shared" si="12"/>
        <v>0</v>
      </c>
      <c r="N65" s="5">
        <f t="shared" si="13"/>
        <v>0</v>
      </c>
    </row>
    <row r="66" spans="1:14" s="13" customFormat="1" ht="31.5" x14ac:dyDescent="0.25">
      <c r="A66" s="33" t="s">
        <v>748</v>
      </c>
      <c r="B66" s="34" t="s">
        <v>983</v>
      </c>
      <c r="C66" s="30" t="s">
        <v>1131</v>
      </c>
      <c r="D66" s="32" t="s">
        <v>1132</v>
      </c>
      <c r="E66" s="84">
        <v>27.731000000000002</v>
      </c>
      <c r="F66" s="84">
        <v>0.126</v>
      </c>
      <c r="G66" s="84">
        <f t="shared" si="14"/>
        <v>27.857000000000003</v>
      </c>
      <c r="H66" s="84">
        <v>70602.387829999992</v>
      </c>
      <c r="I66" s="84"/>
      <c r="J66" s="5">
        <f t="shared" si="15"/>
        <v>70602.387829999992</v>
      </c>
      <c r="K66" s="5">
        <f t="shared" si="16"/>
        <v>2534.4576885522483</v>
      </c>
      <c r="L66" s="5">
        <f t="shared" si="11"/>
        <v>0.74720749871239878</v>
      </c>
      <c r="M66" s="5">
        <f t="shared" si="12"/>
        <v>0</v>
      </c>
      <c r="N66" s="5">
        <f t="shared" si="13"/>
        <v>11549.7</v>
      </c>
    </row>
    <row r="67" spans="1:14" s="13" customFormat="1" ht="31.5" x14ac:dyDescent="0.25">
      <c r="A67" s="33" t="s">
        <v>748</v>
      </c>
      <c r="B67" s="34" t="s">
        <v>984</v>
      </c>
      <c r="C67" s="30" t="s">
        <v>1133</v>
      </c>
      <c r="D67" s="32" t="s">
        <v>1134</v>
      </c>
      <c r="E67" s="84">
        <v>8.4329999999999998</v>
      </c>
      <c r="F67" s="84">
        <v>2.4E-2</v>
      </c>
      <c r="G67" s="84">
        <f t="shared" si="14"/>
        <v>8.456999999999999</v>
      </c>
      <c r="H67" s="84">
        <v>26461.734249999998</v>
      </c>
      <c r="I67" s="84"/>
      <c r="J67" s="5">
        <f t="shared" si="15"/>
        <v>26461.734249999998</v>
      </c>
      <c r="K67" s="5">
        <f t="shared" si="16"/>
        <v>3128.9741338536123</v>
      </c>
      <c r="L67" s="5">
        <f t="shared" si="11"/>
        <v>0.92248252817669951</v>
      </c>
      <c r="M67" s="5">
        <f t="shared" si="12"/>
        <v>0</v>
      </c>
      <c r="N67" s="5">
        <f t="shared" si="13"/>
        <v>0</v>
      </c>
    </row>
    <row r="68" spans="1:14" s="13" customFormat="1" ht="31.5" x14ac:dyDescent="0.25">
      <c r="A68" s="33" t="s">
        <v>748</v>
      </c>
      <c r="B68" s="34" t="s">
        <v>984</v>
      </c>
      <c r="C68" s="30" t="s">
        <v>1136</v>
      </c>
      <c r="D68" s="32" t="s">
        <v>2868</v>
      </c>
      <c r="E68" s="84">
        <v>7.649</v>
      </c>
      <c r="F68" s="84">
        <v>0.02</v>
      </c>
      <c r="G68" s="84">
        <f t="shared" si="14"/>
        <v>7.6689999999999996</v>
      </c>
      <c r="H68" s="84">
        <v>14901.470359999998</v>
      </c>
      <c r="I68" s="84"/>
      <c r="J68" s="5">
        <f t="shared" si="15"/>
        <v>14901.470359999998</v>
      </c>
      <c r="K68" s="5">
        <f t="shared" si="16"/>
        <v>1943.0786751858127</v>
      </c>
      <c r="L68" s="5">
        <f t="shared" si="11"/>
        <v>0.57285744530079252</v>
      </c>
      <c r="M68" s="5">
        <f t="shared" si="12"/>
        <v>0</v>
      </c>
      <c r="N68" s="5">
        <f t="shared" si="13"/>
        <v>6807.8</v>
      </c>
    </row>
    <row r="69" spans="1:14" s="13" customFormat="1" ht="31.5" x14ac:dyDescent="0.25">
      <c r="A69" s="33" t="s">
        <v>748</v>
      </c>
      <c r="B69" s="34" t="s">
        <v>985</v>
      </c>
      <c r="C69" s="30" t="s">
        <v>1138</v>
      </c>
      <c r="D69" s="32" t="s">
        <v>1137</v>
      </c>
      <c r="E69" s="84">
        <v>19.295999999999999</v>
      </c>
      <c r="F69" s="84">
        <v>6.7000000000000004E-2</v>
      </c>
      <c r="G69" s="84">
        <f t="shared" si="14"/>
        <v>19.363</v>
      </c>
      <c r="H69" s="84">
        <v>39431.80341</v>
      </c>
      <c r="I69" s="84"/>
      <c r="J69" s="5">
        <f t="shared" si="15"/>
        <v>39431.80341</v>
      </c>
      <c r="K69" s="5">
        <f t="shared" si="16"/>
        <v>2036.4511392862678</v>
      </c>
      <c r="L69" s="5">
        <f t="shared" si="11"/>
        <v>0.60038546664604842</v>
      </c>
      <c r="M69" s="5">
        <f t="shared" si="12"/>
        <v>0</v>
      </c>
      <c r="N69" s="5">
        <f t="shared" si="13"/>
        <v>15742.3</v>
      </c>
    </row>
    <row r="70" spans="1:14" s="13" customFormat="1" ht="31.5" x14ac:dyDescent="0.25">
      <c r="A70" s="33" t="s">
        <v>748</v>
      </c>
      <c r="B70" s="34" t="s">
        <v>985</v>
      </c>
      <c r="C70" s="30" t="s">
        <v>1140</v>
      </c>
      <c r="D70" s="32" t="s">
        <v>1139</v>
      </c>
      <c r="E70" s="84">
        <v>11.128</v>
      </c>
      <c r="F70" s="84">
        <v>5.6000000000000001E-2</v>
      </c>
      <c r="G70" s="84">
        <f t="shared" si="14"/>
        <v>11.183999999999999</v>
      </c>
      <c r="H70" s="84">
        <v>42306.54589999999</v>
      </c>
      <c r="I70" s="84"/>
      <c r="J70" s="5">
        <f t="shared" si="15"/>
        <v>42306.54589999999</v>
      </c>
      <c r="K70" s="5">
        <f t="shared" si="16"/>
        <v>3782.7741326895557</v>
      </c>
      <c r="L70" s="5">
        <f t="shared" si="11"/>
        <v>1.1152355040874684</v>
      </c>
      <c r="M70" s="5">
        <f t="shared" si="12"/>
        <v>289</v>
      </c>
      <c r="N70" s="5">
        <f t="shared" si="13"/>
        <v>0</v>
      </c>
    </row>
    <row r="71" spans="1:14" s="13" customFormat="1" ht="31.5" x14ac:dyDescent="0.25">
      <c r="A71" s="33" t="s">
        <v>748</v>
      </c>
      <c r="B71" s="34" t="s">
        <v>985</v>
      </c>
      <c r="C71" s="30" t="s">
        <v>1142</v>
      </c>
      <c r="D71" s="32" t="s">
        <v>1141</v>
      </c>
      <c r="E71" s="84">
        <v>15.507</v>
      </c>
      <c r="F71" s="84">
        <v>6.0999999999999999E-2</v>
      </c>
      <c r="G71" s="84">
        <f t="shared" si="14"/>
        <v>15.568</v>
      </c>
      <c r="H71" s="84">
        <v>25813.844600000004</v>
      </c>
      <c r="I71" s="84"/>
      <c r="J71" s="5">
        <f t="shared" si="15"/>
        <v>25813.844600000004</v>
      </c>
      <c r="K71" s="5">
        <f t="shared" si="16"/>
        <v>1658.1349306269274</v>
      </c>
      <c r="L71" s="5">
        <f t="shared" si="11"/>
        <v>0.48885047860046832</v>
      </c>
      <c r="M71" s="5">
        <f t="shared" si="12"/>
        <v>0</v>
      </c>
      <c r="N71" s="5">
        <f t="shared" si="13"/>
        <v>17368.7</v>
      </c>
    </row>
    <row r="72" spans="1:14" s="13" customFormat="1" ht="31.5" customHeight="1" x14ac:dyDescent="0.25">
      <c r="A72" s="33" t="s">
        <v>748</v>
      </c>
      <c r="B72" s="34" t="s">
        <v>984</v>
      </c>
      <c r="C72" s="30" t="s">
        <v>1144</v>
      </c>
      <c r="D72" s="32" t="s">
        <v>1143</v>
      </c>
      <c r="E72" s="84">
        <v>15.634</v>
      </c>
      <c r="F72" s="84">
        <v>6.5000000000000002E-2</v>
      </c>
      <c r="G72" s="84">
        <f t="shared" si="14"/>
        <v>15.699</v>
      </c>
      <c r="H72" s="84">
        <v>33458.099739999998</v>
      </c>
      <c r="I72" s="84"/>
      <c r="J72" s="5">
        <f t="shared" si="15"/>
        <v>33458.099739999998</v>
      </c>
      <c r="K72" s="5">
        <f t="shared" si="16"/>
        <v>2131.2249022230712</v>
      </c>
      <c r="L72" s="5">
        <f t="shared" si="11"/>
        <v>0.62832661818605406</v>
      </c>
      <c r="M72" s="5">
        <f t="shared" si="12"/>
        <v>0</v>
      </c>
      <c r="N72" s="5">
        <f t="shared" si="13"/>
        <v>11573.2</v>
      </c>
    </row>
    <row r="73" spans="1:14" s="13" customFormat="1" ht="31.5" x14ac:dyDescent="0.25">
      <c r="A73" s="33" t="s">
        <v>748</v>
      </c>
      <c r="B73" s="34" t="s">
        <v>985</v>
      </c>
      <c r="C73" s="30" t="s">
        <v>1146</v>
      </c>
      <c r="D73" s="32" t="s">
        <v>1145</v>
      </c>
      <c r="E73" s="84">
        <v>15.561</v>
      </c>
      <c r="F73" s="84">
        <v>4.1000000000000002E-2</v>
      </c>
      <c r="G73" s="84">
        <f t="shared" si="14"/>
        <v>15.602</v>
      </c>
      <c r="H73" s="84">
        <v>30516.814620000001</v>
      </c>
      <c r="I73" s="84"/>
      <c r="J73" s="5">
        <f t="shared" si="15"/>
        <v>30516.814620000001</v>
      </c>
      <c r="K73" s="5">
        <f t="shared" si="16"/>
        <v>1955.9553018843737</v>
      </c>
      <c r="L73" s="5">
        <f t="shared" si="11"/>
        <v>0.57665372569274542</v>
      </c>
      <c r="M73" s="5">
        <f t="shared" si="12"/>
        <v>0</v>
      </c>
      <c r="N73" s="5">
        <f t="shared" si="13"/>
        <v>13689.3</v>
      </c>
    </row>
    <row r="74" spans="1:14" s="13" customFormat="1" ht="31.5" x14ac:dyDescent="0.25">
      <c r="A74" s="33" t="s">
        <v>748</v>
      </c>
      <c r="B74" s="34" t="s">
        <v>985</v>
      </c>
      <c r="C74" s="30" t="s">
        <v>1147</v>
      </c>
      <c r="D74" s="32" t="s">
        <v>2824</v>
      </c>
      <c r="E74" s="84">
        <v>13.476000000000001</v>
      </c>
      <c r="F74" s="84">
        <v>0.05</v>
      </c>
      <c r="G74" s="84">
        <f t="shared" si="14"/>
        <v>13.526000000000002</v>
      </c>
      <c r="H74" s="84">
        <v>28661.578249999999</v>
      </c>
      <c r="I74" s="84"/>
      <c r="J74" s="5">
        <f t="shared" si="15"/>
        <v>28661.578249999999</v>
      </c>
      <c r="K74" s="5">
        <f t="shared" si="16"/>
        <v>2118.9988355759274</v>
      </c>
      <c r="L74" s="5">
        <f t="shared" si="11"/>
        <v>0.62472213557039757</v>
      </c>
      <c r="M74" s="5">
        <f t="shared" si="12"/>
        <v>0</v>
      </c>
      <c r="N74" s="5">
        <f t="shared" si="13"/>
        <v>10103.6</v>
      </c>
    </row>
    <row r="75" spans="1:14" s="13" customFormat="1" ht="31.5" x14ac:dyDescent="0.25">
      <c r="A75" s="33" t="s">
        <v>748</v>
      </c>
      <c r="B75" s="34" t="s">
        <v>983</v>
      </c>
      <c r="C75" s="30" t="s">
        <v>1149</v>
      </c>
      <c r="D75" s="32" t="s">
        <v>1148</v>
      </c>
      <c r="E75" s="84">
        <v>24.376999999999999</v>
      </c>
      <c r="F75" s="84">
        <v>5.2999999999999999E-2</v>
      </c>
      <c r="G75" s="84">
        <f t="shared" si="14"/>
        <v>24.43</v>
      </c>
      <c r="H75" s="84">
        <v>53706.055420000019</v>
      </c>
      <c r="I75" s="84">
        <f>(-674)*0.6</f>
        <v>-404.4</v>
      </c>
      <c r="J75" s="5">
        <f t="shared" si="15"/>
        <v>53301.655420000017</v>
      </c>
      <c r="K75" s="5">
        <f t="shared" si="16"/>
        <v>2181.811519443308</v>
      </c>
      <c r="L75" s="5">
        <f t="shared" si="11"/>
        <v>0.6432405383876757</v>
      </c>
      <c r="M75" s="5">
        <f t="shared" si="12"/>
        <v>0</v>
      </c>
      <c r="N75" s="5">
        <f t="shared" si="13"/>
        <v>17020.900000000001</v>
      </c>
    </row>
    <row r="76" spans="1:14" s="12" customFormat="1" ht="15.75" x14ac:dyDescent="0.25">
      <c r="A76" s="33" t="s">
        <v>748</v>
      </c>
      <c r="B76" s="34" t="s">
        <v>983</v>
      </c>
      <c r="C76" s="30" t="s">
        <v>1151</v>
      </c>
      <c r="D76" s="32" t="s">
        <v>1150</v>
      </c>
      <c r="E76" s="84">
        <v>37.29</v>
      </c>
      <c r="F76" s="84">
        <v>7.4999999999999997E-2</v>
      </c>
      <c r="G76" s="84">
        <f t="shared" si="14"/>
        <v>37.365000000000002</v>
      </c>
      <c r="H76" s="84">
        <v>84762.739589999983</v>
      </c>
      <c r="I76" s="84"/>
      <c r="J76" s="5">
        <f t="shared" si="15"/>
        <v>84762.739589999983</v>
      </c>
      <c r="K76" s="5">
        <f t="shared" si="16"/>
        <v>2268.506345242874</v>
      </c>
      <c r="L76" s="5">
        <f t="shared" si="11"/>
        <v>0.6687998618790868</v>
      </c>
      <c r="M76" s="5">
        <f t="shared" si="12"/>
        <v>0</v>
      </c>
      <c r="N76" s="5">
        <f t="shared" si="13"/>
        <v>23441.599999999999</v>
      </c>
    </row>
    <row r="77" spans="1:14" ht="31.5" x14ac:dyDescent="0.25">
      <c r="A77" s="33" t="s">
        <v>748</v>
      </c>
      <c r="B77" s="34" t="s">
        <v>984</v>
      </c>
      <c r="C77" s="30" t="s">
        <v>2767</v>
      </c>
      <c r="D77" s="32" t="s">
        <v>1152</v>
      </c>
      <c r="E77" s="84">
        <v>6.7809999999999997</v>
      </c>
      <c r="F77" s="84">
        <v>5.0000000000000001E-3</v>
      </c>
      <c r="G77" s="84">
        <f t="shared" si="14"/>
        <v>6.7859999999999996</v>
      </c>
      <c r="H77" s="84">
        <v>15204.239369999998</v>
      </c>
      <c r="I77" s="84"/>
      <c r="J77" s="5">
        <f t="shared" si="15"/>
        <v>15204.239369999998</v>
      </c>
      <c r="K77" s="5">
        <f t="shared" si="16"/>
        <v>2240.5304111405835</v>
      </c>
      <c r="L77" s="5">
        <f t="shared" si="11"/>
        <v>0.66055201152469545</v>
      </c>
      <c r="M77" s="5">
        <f t="shared" si="12"/>
        <v>0</v>
      </c>
      <c r="N77" s="5">
        <f t="shared" si="13"/>
        <v>4409.2</v>
      </c>
    </row>
    <row r="78" spans="1:14" ht="15.75" x14ac:dyDescent="0.25">
      <c r="A78" s="17" t="s">
        <v>752</v>
      </c>
      <c r="B78" s="17" t="s">
        <v>7</v>
      </c>
      <c r="C78" s="17" t="s">
        <v>753</v>
      </c>
      <c r="D78" s="11" t="s">
        <v>9</v>
      </c>
      <c r="E78" s="11">
        <f t="shared" ref="E78:J78" si="17">E79+E80+E85</f>
        <v>1027.3970000000002</v>
      </c>
      <c r="F78" s="11">
        <f t="shared" si="17"/>
        <v>3.1240000000000001</v>
      </c>
      <c r="G78" s="11">
        <f t="shared" si="17"/>
        <v>1030.4760000000001</v>
      </c>
      <c r="H78" s="11">
        <f t="shared" si="17"/>
        <v>2767466.0734219998</v>
      </c>
      <c r="I78" s="11">
        <f t="shared" si="17"/>
        <v>-1514.2379999999994</v>
      </c>
      <c r="J78" s="11">
        <f t="shared" si="17"/>
        <v>2765951.8354219999</v>
      </c>
      <c r="K78" s="11">
        <f t="shared" si="16"/>
        <v>2684.1496894852471</v>
      </c>
      <c r="L78" s="11">
        <f>K78/$K$1659</f>
        <v>0.79133961664027486</v>
      </c>
      <c r="M78" s="11">
        <f>M79+M80+M85</f>
        <v>171232.9</v>
      </c>
      <c r="N78" s="11">
        <f>N79+N80+N85</f>
        <v>754808.59999999986</v>
      </c>
    </row>
    <row r="79" spans="1:14" ht="15.75" x14ac:dyDescent="0.25">
      <c r="A79" s="33" t="s">
        <v>752</v>
      </c>
      <c r="B79" s="34" t="s">
        <v>6</v>
      </c>
      <c r="C79" s="18" t="s">
        <v>35</v>
      </c>
      <c r="D79" s="32" t="s">
        <v>838</v>
      </c>
      <c r="E79" s="5">
        <v>0</v>
      </c>
      <c r="F79" s="5">
        <v>4.4999999999999998E-2</v>
      </c>
      <c r="G79" s="5"/>
      <c r="H79" s="49"/>
      <c r="I79" s="49"/>
      <c r="J79" s="5"/>
      <c r="K79" s="5"/>
      <c r="L79" s="5"/>
      <c r="M79" s="5"/>
      <c r="N79" s="5"/>
    </row>
    <row r="80" spans="1:14" ht="15.75" x14ac:dyDescent="0.25">
      <c r="A80" s="19" t="s">
        <v>752</v>
      </c>
      <c r="B80" s="19" t="s">
        <v>5</v>
      </c>
      <c r="C80" s="19" t="s">
        <v>754</v>
      </c>
      <c r="D80" s="7" t="s">
        <v>2794</v>
      </c>
      <c r="E80" s="7">
        <f t="shared" ref="E80:J80" si="18">SUM(E81:E84)</f>
        <v>0</v>
      </c>
      <c r="F80" s="7">
        <f t="shared" si="18"/>
        <v>0</v>
      </c>
      <c r="G80" s="7">
        <f t="shared" si="18"/>
        <v>0</v>
      </c>
      <c r="H80" s="7">
        <f t="shared" si="18"/>
        <v>0</v>
      </c>
      <c r="I80" s="7">
        <f t="shared" si="18"/>
        <v>0</v>
      </c>
      <c r="J80" s="7">
        <f t="shared" si="18"/>
        <v>0</v>
      </c>
      <c r="K80" s="7" t="e">
        <f>J80/G80</f>
        <v>#DIV/0!</v>
      </c>
      <c r="L80" s="7" t="e">
        <f>K80/$K$1659</f>
        <v>#DIV/0!</v>
      </c>
      <c r="M80" s="7">
        <f>SUM(M81:M84)</f>
        <v>0</v>
      </c>
      <c r="N80" s="7">
        <f>SUM(N81:N84)</f>
        <v>0</v>
      </c>
    </row>
    <row r="81" spans="1:14" ht="15.75" x14ac:dyDescent="0.25">
      <c r="A81" s="33" t="s">
        <v>752</v>
      </c>
      <c r="B81" s="34" t="s">
        <v>4</v>
      </c>
      <c r="C81" s="18" t="s">
        <v>1153</v>
      </c>
      <c r="D81" s="32" t="s">
        <v>1154</v>
      </c>
      <c r="E81" s="5"/>
      <c r="F81" s="5"/>
      <c r="G81" s="5"/>
      <c r="H81" s="49"/>
      <c r="I81" s="49"/>
      <c r="J81" s="5"/>
      <c r="K81" s="5"/>
      <c r="L81" s="5"/>
      <c r="M81" s="5"/>
      <c r="N81" s="5"/>
    </row>
    <row r="82" spans="1:14" ht="15.75" x14ac:dyDescent="0.25">
      <c r="A82" s="33" t="s">
        <v>752</v>
      </c>
      <c r="B82" s="34" t="s">
        <v>4</v>
      </c>
      <c r="C82" s="18" t="s">
        <v>36</v>
      </c>
      <c r="D82" s="32" t="s">
        <v>888</v>
      </c>
      <c r="E82" s="5"/>
      <c r="F82" s="5"/>
      <c r="G82" s="5"/>
      <c r="H82" s="49"/>
      <c r="I82" s="49"/>
      <c r="J82" s="5"/>
      <c r="K82" s="5"/>
      <c r="L82" s="5"/>
      <c r="M82" s="5"/>
      <c r="N82" s="5"/>
    </row>
    <row r="83" spans="1:14" ht="15.75" x14ac:dyDescent="0.25">
      <c r="A83" s="33" t="s">
        <v>752</v>
      </c>
      <c r="B83" s="34" t="s">
        <v>4</v>
      </c>
      <c r="C83" s="18" t="s">
        <v>37</v>
      </c>
      <c r="D83" s="32" t="s">
        <v>889</v>
      </c>
      <c r="E83" s="5"/>
      <c r="F83" s="5"/>
      <c r="G83" s="5"/>
      <c r="H83" s="49"/>
      <c r="I83" s="49"/>
      <c r="J83" s="5"/>
      <c r="K83" s="5"/>
      <c r="L83" s="5"/>
      <c r="M83" s="5"/>
      <c r="N83" s="5"/>
    </row>
    <row r="84" spans="1:14" ht="15.75" x14ac:dyDescent="0.25">
      <c r="A84" s="33" t="s">
        <v>752</v>
      </c>
      <c r="B84" s="34" t="s">
        <v>4</v>
      </c>
      <c r="C84" s="18" t="s">
        <v>38</v>
      </c>
      <c r="D84" s="32" t="s">
        <v>890</v>
      </c>
      <c r="E84" s="5"/>
      <c r="F84" s="5"/>
      <c r="G84" s="5"/>
      <c r="H84" s="49"/>
      <c r="I84" s="49"/>
      <c r="J84" s="5"/>
      <c r="K84" s="5"/>
      <c r="L84" s="5"/>
      <c r="M84" s="5"/>
      <c r="N84" s="5"/>
    </row>
    <row r="85" spans="1:14" ht="31.5" x14ac:dyDescent="0.25">
      <c r="A85" s="19" t="s">
        <v>752</v>
      </c>
      <c r="B85" s="19" t="s">
        <v>28</v>
      </c>
      <c r="C85" s="19" t="s">
        <v>755</v>
      </c>
      <c r="D85" s="20" t="s">
        <v>2769</v>
      </c>
      <c r="E85" s="7">
        <f t="shared" ref="E85:J85" si="19">SUM(E86:E139)</f>
        <v>1027.3970000000002</v>
      </c>
      <c r="F85" s="7">
        <f t="shared" si="19"/>
        <v>3.0790000000000002</v>
      </c>
      <c r="G85" s="7">
        <f t="shared" si="19"/>
        <v>1030.4760000000001</v>
      </c>
      <c r="H85" s="7">
        <f t="shared" si="19"/>
        <v>2767466.0734219998</v>
      </c>
      <c r="I85" s="7">
        <f t="shared" si="19"/>
        <v>-1514.2379999999994</v>
      </c>
      <c r="J85" s="7">
        <f t="shared" si="19"/>
        <v>2765951.8354219999</v>
      </c>
      <c r="K85" s="7">
        <f t="shared" ref="K85:K94" si="20">J85/G85</f>
        <v>2684.1496894852471</v>
      </c>
      <c r="L85" s="7">
        <f t="shared" ref="L85:L116" si="21">K85/$K$1659</f>
        <v>0.79133961664027486</v>
      </c>
      <c r="M85" s="7">
        <f>SUM(M86:M139)</f>
        <v>171232.9</v>
      </c>
      <c r="N85" s="7">
        <f>SUM(N86:N139)</f>
        <v>754808.59999999986</v>
      </c>
    </row>
    <row r="86" spans="1:14" ht="15.75" x14ac:dyDescent="0.25">
      <c r="A86" s="33" t="s">
        <v>752</v>
      </c>
      <c r="B86" s="34" t="s">
        <v>984</v>
      </c>
      <c r="C86" s="18" t="s">
        <v>39</v>
      </c>
      <c r="D86" s="32" t="s">
        <v>1155</v>
      </c>
      <c r="E86" s="5">
        <v>4.01</v>
      </c>
      <c r="F86" s="5">
        <v>3.0000000000000001E-3</v>
      </c>
      <c r="G86" s="5">
        <f t="shared" ref="G86:G125" si="22">F86+E86</f>
        <v>4.0129999999999999</v>
      </c>
      <c r="H86" s="49">
        <v>3826.2641899999999</v>
      </c>
      <c r="I86" s="49"/>
      <c r="J86" s="5">
        <f t="shared" ref="J86:J112" si="23">H86+I86</f>
        <v>3826.2641899999999</v>
      </c>
      <c r="K86" s="5">
        <f t="shared" si="20"/>
        <v>953.46727884375775</v>
      </c>
      <c r="L86" s="5">
        <f t="shared" si="21"/>
        <v>0.28110072768108646</v>
      </c>
      <c r="M86" s="5">
        <f t="shared" ref="M86:M117" si="24">ROUND(IF(L86&lt;110%,0,(K86-$K$1659*1.1)*0.5)*G86,1)</f>
        <v>0</v>
      </c>
      <c r="N86" s="5">
        <f t="shared" ref="N86:N117" si="25">ROUND(IF(L86&gt;90%,0,(-K86+$K$1659*0.9)*0.8)*G86,1)</f>
        <v>6739.4</v>
      </c>
    </row>
    <row r="87" spans="1:14" ht="15.75" x14ac:dyDescent="0.25">
      <c r="A87" s="33" t="s">
        <v>752</v>
      </c>
      <c r="B87" s="34" t="s">
        <v>985</v>
      </c>
      <c r="C87" s="18" t="s">
        <v>40</v>
      </c>
      <c r="D87" s="32" t="s">
        <v>1156</v>
      </c>
      <c r="E87" s="5">
        <v>8.5549999999999997</v>
      </c>
      <c r="F87" s="5">
        <v>1.4999999999999999E-2</v>
      </c>
      <c r="G87" s="5">
        <f t="shared" si="22"/>
        <v>8.57</v>
      </c>
      <c r="H87" s="49">
        <v>11714.30293</v>
      </c>
      <c r="I87" s="49"/>
      <c r="J87" s="5">
        <f t="shared" si="23"/>
        <v>11714.30293</v>
      </c>
      <c r="K87" s="5">
        <f t="shared" si="20"/>
        <v>1366.8964912485415</v>
      </c>
      <c r="L87" s="5">
        <f t="shared" si="21"/>
        <v>0.40298771324448623</v>
      </c>
      <c r="M87" s="5">
        <f t="shared" si="24"/>
        <v>0</v>
      </c>
      <c r="N87" s="5">
        <f t="shared" si="25"/>
        <v>11558</v>
      </c>
    </row>
    <row r="88" spans="1:14" ht="15.75" x14ac:dyDescent="0.25">
      <c r="A88" s="33" t="s">
        <v>752</v>
      </c>
      <c r="B88" s="34" t="s">
        <v>984</v>
      </c>
      <c r="C88" s="18" t="s">
        <v>41</v>
      </c>
      <c r="D88" s="32" t="s">
        <v>2869</v>
      </c>
      <c r="E88" s="5">
        <v>8.59</v>
      </c>
      <c r="F88" s="5">
        <v>1.2999999999999999E-2</v>
      </c>
      <c r="G88" s="5">
        <f t="shared" si="22"/>
        <v>8.6029999999999998</v>
      </c>
      <c r="H88" s="49">
        <v>11448.38413</v>
      </c>
      <c r="I88" s="49"/>
      <c r="J88" s="5">
        <f t="shared" si="23"/>
        <v>11448.38413</v>
      </c>
      <c r="K88" s="5">
        <f t="shared" si="20"/>
        <v>1330.7432442171337</v>
      </c>
      <c r="L88" s="5">
        <f t="shared" si="21"/>
        <v>0.39232903174165917</v>
      </c>
      <c r="M88" s="5">
        <f t="shared" si="24"/>
        <v>0</v>
      </c>
      <c r="N88" s="5">
        <f t="shared" si="25"/>
        <v>11851.3</v>
      </c>
    </row>
    <row r="89" spans="1:14" ht="15.75" x14ac:dyDescent="0.25">
      <c r="A89" s="33" t="s">
        <v>752</v>
      </c>
      <c r="B89" s="34" t="s">
        <v>983</v>
      </c>
      <c r="C89" s="18" t="s">
        <v>42</v>
      </c>
      <c r="D89" s="32" t="s">
        <v>1158</v>
      </c>
      <c r="E89" s="5">
        <v>7.2430000000000003</v>
      </c>
      <c r="F89" s="5">
        <v>1.2E-2</v>
      </c>
      <c r="G89" s="5">
        <f t="shared" si="22"/>
        <v>7.2549999999999999</v>
      </c>
      <c r="H89" s="49">
        <v>21680.88466</v>
      </c>
      <c r="I89" s="49"/>
      <c r="J89" s="5">
        <f t="shared" si="23"/>
        <v>21680.88466</v>
      </c>
      <c r="K89" s="5">
        <f t="shared" si="20"/>
        <v>2988.4058800827015</v>
      </c>
      <c r="L89" s="5">
        <f t="shared" si="21"/>
        <v>0.88104026864601059</v>
      </c>
      <c r="M89" s="5">
        <f t="shared" si="24"/>
        <v>0</v>
      </c>
      <c r="N89" s="5">
        <f t="shared" si="25"/>
        <v>373.3</v>
      </c>
    </row>
    <row r="90" spans="1:14" ht="31.5" x14ac:dyDescent="0.25">
      <c r="A90" s="33" t="s">
        <v>752</v>
      </c>
      <c r="B90" s="34" t="s">
        <v>985</v>
      </c>
      <c r="C90" s="18" t="s">
        <v>281</v>
      </c>
      <c r="D90" s="32" t="s">
        <v>1159</v>
      </c>
      <c r="E90" s="5">
        <v>6.3879999999999999</v>
      </c>
      <c r="F90" s="5">
        <v>8.0000000000000002E-3</v>
      </c>
      <c r="G90" s="5">
        <f t="shared" si="22"/>
        <v>6.3959999999999999</v>
      </c>
      <c r="H90" s="49">
        <v>8552.4000199999991</v>
      </c>
      <c r="I90" s="49"/>
      <c r="J90" s="5">
        <f t="shared" si="23"/>
        <v>8552.4000199999991</v>
      </c>
      <c r="K90" s="5">
        <f t="shared" si="20"/>
        <v>1337.1482207629767</v>
      </c>
      <c r="L90" s="5">
        <f t="shared" si="21"/>
        <v>0.39421734359856964</v>
      </c>
      <c r="M90" s="5">
        <f t="shared" si="24"/>
        <v>0</v>
      </c>
      <c r="N90" s="5">
        <f t="shared" si="25"/>
        <v>8778.2000000000007</v>
      </c>
    </row>
    <row r="91" spans="1:14" ht="15.75" x14ac:dyDescent="0.25">
      <c r="A91" s="33" t="s">
        <v>752</v>
      </c>
      <c r="B91" s="34" t="s">
        <v>985</v>
      </c>
      <c r="C91" s="18" t="s">
        <v>292</v>
      </c>
      <c r="D91" s="32" t="s">
        <v>1160</v>
      </c>
      <c r="E91" s="5">
        <v>16.481999999999999</v>
      </c>
      <c r="F91" s="5">
        <v>3.1E-2</v>
      </c>
      <c r="G91" s="5">
        <f t="shared" si="22"/>
        <v>16.512999999999998</v>
      </c>
      <c r="H91" s="49">
        <v>30714.949597999999</v>
      </c>
      <c r="I91" s="49"/>
      <c r="J91" s="5">
        <f t="shared" si="23"/>
        <v>30714.949597999999</v>
      </c>
      <c r="K91" s="5">
        <f t="shared" si="20"/>
        <v>1860.04660558348</v>
      </c>
      <c r="L91" s="5">
        <f t="shared" si="21"/>
        <v>0.54837797368810481</v>
      </c>
      <c r="M91" s="5">
        <f t="shared" si="24"/>
        <v>0</v>
      </c>
      <c r="N91" s="5">
        <f t="shared" si="25"/>
        <v>15755.6</v>
      </c>
    </row>
    <row r="92" spans="1:14" s="13" customFormat="1" ht="31.5" x14ac:dyDescent="0.25">
      <c r="A92" s="33" t="s">
        <v>752</v>
      </c>
      <c r="B92" s="34" t="s">
        <v>985</v>
      </c>
      <c r="C92" s="18" t="s">
        <v>319</v>
      </c>
      <c r="D92" s="32" t="s">
        <v>1161</v>
      </c>
      <c r="E92" s="5">
        <v>9.4849999999999994</v>
      </c>
      <c r="F92" s="5">
        <v>8.0000000000000002E-3</v>
      </c>
      <c r="G92" s="5">
        <f t="shared" si="22"/>
        <v>9.4929999999999986</v>
      </c>
      <c r="H92" s="49">
        <v>8106.7672699999994</v>
      </c>
      <c r="I92" s="49"/>
      <c r="J92" s="5">
        <f t="shared" si="23"/>
        <v>8106.7672699999994</v>
      </c>
      <c r="K92" s="5">
        <f t="shared" si="20"/>
        <v>853.97316654376914</v>
      </c>
      <c r="L92" s="5">
        <f t="shared" si="21"/>
        <v>0.25176792519474805</v>
      </c>
      <c r="M92" s="5">
        <f t="shared" si="24"/>
        <v>0</v>
      </c>
      <c r="N92" s="5">
        <f t="shared" si="25"/>
        <v>16698.099999999999</v>
      </c>
    </row>
    <row r="93" spans="1:14" s="13" customFormat="1" ht="15.75" x14ac:dyDescent="0.25">
      <c r="A93" s="33" t="s">
        <v>752</v>
      </c>
      <c r="B93" s="34" t="s">
        <v>984</v>
      </c>
      <c r="C93" s="18" t="s">
        <v>320</v>
      </c>
      <c r="D93" s="32" t="s">
        <v>1162</v>
      </c>
      <c r="E93" s="5">
        <v>5.12</v>
      </c>
      <c r="F93" s="5">
        <v>1.2E-2</v>
      </c>
      <c r="G93" s="5">
        <f t="shared" si="22"/>
        <v>5.1319999999999997</v>
      </c>
      <c r="H93" s="49">
        <v>11443.062978</v>
      </c>
      <c r="I93" s="49">
        <f>(-4868.09143)*0.6</f>
        <v>-2920.8548580000001</v>
      </c>
      <c r="J93" s="5">
        <f t="shared" si="23"/>
        <v>8522.2081199999993</v>
      </c>
      <c r="K93" s="5">
        <f t="shared" si="20"/>
        <v>1660.6017381137958</v>
      </c>
      <c r="L93" s="5">
        <f t="shared" si="21"/>
        <v>0.48957774150187461</v>
      </c>
      <c r="M93" s="5">
        <f t="shared" si="24"/>
        <v>0</v>
      </c>
      <c r="N93" s="5">
        <f t="shared" si="25"/>
        <v>5715.5</v>
      </c>
    </row>
    <row r="94" spans="1:14" s="13" customFormat="1" ht="31.5" x14ac:dyDescent="0.25">
      <c r="A94" s="33" t="s">
        <v>752</v>
      </c>
      <c r="B94" s="34" t="s">
        <v>984</v>
      </c>
      <c r="C94" s="18" t="s">
        <v>321</v>
      </c>
      <c r="D94" s="32" t="s">
        <v>1163</v>
      </c>
      <c r="E94" s="5">
        <v>4.0940000000000003</v>
      </c>
      <c r="F94" s="5">
        <v>0</v>
      </c>
      <c r="G94" s="5">
        <f t="shared" si="22"/>
        <v>4.0940000000000003</v>
      </c>
      <c r="H94" s="49">
        <v>11700.63507</v>
      </c>
      <c r="I94" s="49"/>
      <c r="J94" s="5">
        <f t="shared" si="23"/>
        <v>11700.63507</v>
      </c>
      <c r="K94" s="5">
        <f t="shared" si="20"/>
        <v>2857.9958646800192</v>
      </c>
      <c r="L94" s="5">
        <f t="shared" si="21"/>
        <v>0.84259285567233189</v>
      </c>
      <c r="M94" s="5">
        <f t="shared" si="24"/>
        <v>0</v>
      </c>
      <c r="N94" s="5">
        <f t="shared" si="25"/>
        <v>637.70000000000005</v>
      </c>
    </row>
    <row r="95" spans="1:14" s="13" customFormat="1" ht="15.75" x14ac:dyDescent="0.25">
      <c r="A95" s="33" t="s">
        <v>752</v>
      </c>
      <c r="B95" s="34" t="s">
        <v>984</v>
      </c>
      <c r="C95" s="18" t="s">
        <v>322</v>
      </c>
      <c r="D95" s="32" t="s">
        <v>1164</v>
      </c>
      <c r="E95" s="5">
        <v>8.734</v>
      </c>
      <c r="F95" s="5">
        <v>3.0000000000000001E-3</v>
      </c>
      <c r="G95" s="5">
        <f t="shared" si="22"/>
        <v>8.7370000000000001</v>
      </c>
      <c r="H95" s="49">
        <v>10787.83668</v>
      </c>
      <c r="I95" s="49"/>
      <c r="J95" s="5">
        <f t="shared" si="23"/>
        <v>10787.83668</v>
      </c>
      <c r="K95" s="5">
        <f t="shared" ref="K95:K121" si="26">J95/G95</f>
        <v>1234.7300766853612</v>
      </c>
      <c r="L95" s="5">
        <f t="shared" si="21"/>
        <v>0.36402247958301925</v>
      </c>
      <c r="M95" s="5">
        <f t="shared" si="24"/>
        <v>0</v>
      </c>
      <c r="N95" s="5">
        <f t="shared" si="25"/>
        <v>12707</v>
      </c>
    </row>
    <row r="96" spans="1:14" s="13" customFormat="1" ht="15.75" x14ac:dyDescent="0.25">
      <c r="A96" s="33" t="s">
        <v>752</v>
      </c>
      <c r="B96" s="34" t="s">
        <v>984</v>
      </c>
      <c r="C96" s="18" t="s">
        <v>323</v>
      </c>
      <c r="D96" s="32" t="s">
        <v>1165</v>
      </c>
      <c r="E96" s="5">
        <v>4.4610000000000003</v>
      </c>
      <c r="F96" s="5">
        <v>1.4E-2</v>
      </c>
      <c r="G96" s="5">
        <f t="shared" si="22"/>
        <v>4.4750000000000005</v>
      </c>
      <c r="H96" s="49">
        <v>5154.7293300000001</v>
      </c>
      <c r="I96" s="49"/>
      <c r="J96" s="5">
        <f t="shared" si="23"/>
        <v>5154.7293300000001</v>
      </c>
      <c r="K96" s="5">
        <f t="shared" si="26"/>
        <v>1151.8948223463685</v>
      </c>
      <c r="L96" s="5">
        <f t="shared" si="21"/>
        <v>0.3396010329439948</v>
      </c>
      <c r="M96" s="5">
        <f t="shared" si="24"/>
        <v>0</v>
      </c>
      <c r="N96" s="5">
        <f t="shared" si="25"/>
        <v>6804.9</v>
      </c>
    </row>
    <row r="97" spans="1:14" s="13" customFormat="1" ht="31.5" x14ac:dyDescent="0.25">
      <c r="A97" s="33" t="s">
        <v>752</v>
      </c>
      <c r="B97" s="34" t="s">
        <v>984</v>
      </c>
      <c r="C97" s="18" t="s">
        <v>324</v>
      </c>
      <c r="D97" s="32" t="s">
        <v>1166</v>
      </c>
      <c r="E97" s="5">
        <v>5.6760000000000002</v>
      </c>
      <c r="F97" s="5">
        <v>4.0000000000000001E-3</v>
      </c>
      <c r="G97" s="5">
        <f t="shared" si="22"/>
        <v>5.68</v>
      </c>
      <c r="H97" s="49">
        <v>19121.247230000001</v>
      </c>
      <c r="I97" s="49"/>
      <c r="J97" s="5">
        <f t="shared" si="23"/>
        <v>19121.247230000001</v>
      </c>
      <c r="K97" s="5">
        <f t="shared" si="26"/>
        <v>3366.4167658450706</v>
      </c>
      <c r="L97" s="5">
        <f t="shared" si="21"/>
        <v>0.99248524155376616</v>
      </c>
      <c r="M97" s="5">
        <f t="shared" si="24"/>
        <v>0</v>
      </c>
      <c r="N97" s="5">
        <f t="shared" si="25"/>
        <v>0</v>
      </c>
    </row>
    <row r="98" spans="1:14" s="13" customFormat="1" ht="31.5" x14ac:dyDescent="0.25">
      <c r="A98" s="33" t="s">
        <v>752</v>
      </c>
      <c r="B98" s="34" t="s">
        <v>984</v>
      </c>
      <c r="C98" s="18" t="s">
        <v>325</v>
      </c>
      <c r="D98" s="32" t="s">
        <v>1167</v>
      </c>
      <c r="E98" s="5">
        <v>8.8960000000000008</v>
      </c>
      <c r="F98" s="5">
        <v>6.0000000000000001E-3</v>
      </c>
      <c r="G98" s="5">
        <f t="shared" si="22"/>
        <v>8.902000000000001</v>
      </c>
      <c r="H98" s="49">
        <v>12437.665072</v>
      </c>
      <c r="I98" s="49"/>
      <c r="J98" s="5">
        <f t="shared" si="23"/>
        <v>12437.665072</v>
      </c>
      <c r="K98" s="5">
        <f t="shared" si="26"/>
        <v>1397.1764852842057</v>
      </c>
      <c r="L98" s="5">
        <f t="shared" si="21"/>
        <v>0.41191484535113398</v>
      </c>
      <c r="M98" s="5">
        <f t="shared" si="24"/>
        <v>0</v>
      </c>
      <c r="N98" s="5">
        <f t="shared" si="25"/>
        <v>11790.1</v>
      </c>
    </row>
    <row r="99" spans="1:14" s="13" customFormat="1" ht="31.5" x14ac:dyDescent="0.25">
      <c r="A99" s="33" t="s">
        <v>752</v>
      </c>
      <c r="B99" s="34" t="s">
        <v>984</v>
      </c>
      <c r="C99" s="18" t="s">
        <v>470</v>
      </c>
      <c r="D99" s="32" t="s">
        <v>1168</v>
      </c>
      <c r="E99" s="5">
        <v>8.3450000000000006</v>
      </c>
      <c r="F99" s="5">
        <v>1.2999999999999999E-2</v>
      </c>
      <c r="G99" s="5">
        <f t="shared" si="22"/>
        <v>8.3580000000000005</v>
      </c>
      <c r="H99" s="49">
        <v>9367.4396479999996</v>
      </c>
      <c r="I99" s="49"/>
      <c r="J99" s="5">
        <f t="shared" si="23"/>
        <v>9367.4396479999996</v>
      </c>
      <c r="K99" s="5">
        <f t="shared" si="26"/>
        <v>1120.7752629815743</v>
      </c>
      <c r="L99" s="5">
        <f t="shared" si="21"/>
        <v>0.3304263806232916</v>
      </c>
      <c r="M99" s="5">
        <f t="shared" si="24"/>
        <v>0</v>
      </c>
      <c r="N99" s="5">
        <f t="shared" si="25"/>
        <v>12917.7</v>
      </c>
    </row>
    <row r="100" spans="1:14" s="13" customFormat="1" ht="31.5" x14ac:dyDescent="0.25">
      <c r="A100" s="33" t="s">
        <v>752</v>
      </c>
      <c r="B100" s="34" t="s">
        <v>984</v>
      </c>
      <c r="C100" s="18" t="s">
        <v>471</v>
      </c>
      <c r="D100" s="32" t="s">
        <v>1169</v>
      </c>
      <c r="E100" s="5">
        <v>7.899</v>
      </c>
      <c r="F100" s="5">
        <v>2.1000000000000001E-2</v>
      </c>
      <c r="G100" s="5">
        <f t="shared" si="22"/>
        <v>7.92</v>
      </c>
      <c r="H100" s="49">
        <v>14559.654737999999</v>
      </c>
      <c r="I100" s="49">
        <f>(2830.7+1890+8231+31.8)*0.6</f>
        <v>7790.0999999999995</v>
      </c>
      <c r="J100" s="5">
        <f t="shared" si="23"/>
        <v>22349.754738</v>
      </c>
      <c r="K100" s="5">
        <f t="shared" si="26"/>
        <v>2821.9387295454544</v>
      </c>
      <c r="L100" s="5">
        <f t="shared" si="21"/>
        <v>0.83196250982898767</v>
      </c>
      <c r="M100" s="5">
        <f t="shared" si="24"/>
        <v>0</v>
      </c>
      <c r="N100" s="5">
        <f t="shared" si="25"/>
        <v>1462.2</v>
      </c>
    </row>
    <row r="101" spans="1:14" s="13" customFormat="1" ht="31.5" x14ac:dyDescent="0.25">
      <c r="A101" s="33" t="s">
        <v>752</v>
      </c>
      <c r="B101" s="34" t="s">
        <v>984</v>
      </c>
      <c r="C101" s="18" t="s">
        <v>472</v>
      </c>
      <c r="D101" s="32" t="s">
        <v>1170</v>
      </c>
      <c r="E101" s="5">
        <v>10.537000000000001</v>
      </c>
      <c r="F101" s="5">
        <v>6.0000000000000001E-3</v>
      </c>
      <c r="G101" s="5">
        <f t="shared" si="22"/>
        <v>10.543000000000001</v>
      </c>
      <c r="H101" s="49">
        <v>7903.9613399999998</v>
      </c>
      <c r="I101" s="49"/>
      <c r="J101" s="5">
        <f t="shared" si="23"/>
        <v>7903.9613399999998</v>
      </c>
      <c r="K101" s="5">
        <f t="shared" si="26"/>
        <v>749.68807170634534</v>
      </c>
      <c r="L101" s="5">
        <f t="shared" si="21"/>
        <v>0.22102264772634878</v>
      </c>
      <c r="M101" s="5">
        <f t="shared" si="24"/>
        <v>0</v>
      </c>
      <c r="N101" s="5">
        <f t="shared" si="25"/>
        <v>19424.7</v>
      </c>
    </row>
    <row r="102" spans="1:14" s="13" customFormat="1" ht="31.5" x14ac:dyDescent="0.25">
      <c r="A102" s="33" t="s">
        <v>752</v>
      </c>
      <c r="B102" s="34" t="s">
        <v>984</v>
      </c>
      <c r="C102" s="18" t="s">
        <v>473</v>
      </c>
      <c r="D102" s="32" t="s">
        <v>1171</v>
      </c>
      <c r="E102" s="5">
        <v>5.46</v>
      </c>
      <c r="F102" s="5">
        <v>4.0000000000000001E-3</v>
      </c>
      <c r="G102" s="5">
        <f t="shared" si="22"/>
        <v>5.4639999999999995</v>
      </c>
      <c r="H102" s="49">
        <v>4507.2412899999999</v>
      </c>
      <c r="I102" s="49"/>
      <c r="J102" s="5">
        <f t="shared" si="23"/>
        <v>4507.2412899999999</v>
      </c>
      <c r="K102" s="5">
        <f t="shared" si="26"/>
        <v>824.8977470717424</v>
      </c>
      <c r="L102" s="5">
        <f t="shared" si="21"/>
        <v>0.2431959251349968</v>
      </c>
      <c r="M102" s="5">
        <f t="shared" si="24"/>
        <v>0</v>
      </c>
      <c r="N102" s="5">
        <f t="shared" si="25"/>
        <v>9738.2000000000007</v>
      </c>
    </row>
    <row r="103" spans="1:14" s="13" customFormat="1" ht="31.5" x14ac:dyDescent="0.25">
      <c r="A103" s="33" t="s">
        <v>752</v>
      </c>
      <c r="B103" s="34" t="s">
        <v>985</v>
      </c>
      <c r="C103" s="18" t="s">
        <v>516</v>
      </c>
      <c r="D103" s="32" t="s">
        <v>1172</v>
      </c>
      <c r="E103" s="5">
        <v>9.4149999999999991</v>
      </c>
      <c r="F103" s="5">
        <v>4.0000000000000001E-3</v>
      </c>
      <c r="G103" s="5">
        <f t="shared" si="22"/>
        <v>9.4189999999999987</v>
      </c>
      <c r="H103" s="49">
        <v>16027.60275</v>
      </c>
      <c r="I103" s="49"/>
      <c r="J103" s="5">
        <f t="shared" si="23"/>
        <v>16027.60275</v>
      </c>
      <c r="K103" s="5">
        <f t="shared" si="26"/>
        <v>1701.6246682238032</v>
      </c>
      <c r="L103" s="5">
        <f t="shared" si="21"/>
        <v>0.50167210043941191</v>
      </c>
      <c r="M103" s="5">
        <f t="shared" si="24"/>
        <v>0</v>
      </c>
      <c r="N103" s="5">
        <f t="shared" si="25"/>
        <v>10180.700000000001</v>
      </c>
    </row>
    <row r="104" spans="1:14" s="13" customFormat="1" ht="31.5" x14ac:dyDescent="0.25">
      <c r="A104" s="33" t="s">
        <v>752</v>
      </c>
      <c r="B104" s="34" t="s">
        <v>985</v>
      </c>
      <c r="C104" s="18" t="s">
        <v>517</v>
      </c>
      <c r="D104" s="32" t="s">
        <v>1173</v>
      </c>
      <c r="E104" s="5">
        <v>17.655000000000001</v>
      </c>
      <c r="F104" s="5">
        <v>1.2E-2</v>
      </c>
      <c r="G104" s="5">
        <f t="shared" si="22"/>
        <v>17.667000000000002</v>
      </c>
      <c r="H104" s="49">
        <v>23534.704684</v>
      </c>
      <c r="I104" s="49"/>
      <c r="J104" s="5">
        <f t="shared" si="23"/>
        <v>23534.704684</v>
      </c>
      <c r="K104" s="5">
        <f t="shared" si="26"/>
        <v>1332.1279608309276</v>
      </c>
      <c r="L104" s="5">
        <f t="shared" si="21"/>
        <v>0.39273727317417229</v>
      </c>
      <c r="M104" s="5">
        <f t="shared" si="24"/>
        <v>0</v>
      </c>
      <c r="N104" s="5">
        <f t="shared" si="25"/>
        <v>24318.1</v>
      </c>
    </row>
    <row r="105" spans="1:14" s="13" customFormat="1" ht="31.5" x14ac:dyDescent="0.25">
      <c r="A105" s="33" t="s">
        <v>752</v>
      </c>
      <c r="B105" s="34" t="s">
        <v>984</v>
      </c>
      <c r="C105" s="18" t="s">
        <v>518</v>
      </c>
      <c r="D105" s="32" t="s">
        <v>1174</v>
      </c>
      <c r="E105" s="5">
        <v>18.666</v>
      </c>
      <c r="F105" s="5">
        <v>4.7E-2</v>
      </c>
      <c r="G105" s="5">
        <f t="shared" si="22"/>
        <v>18.713000000000001</v>
      </c>
      <c r="H105" s="49">
        <v>113874.80082799999</v>
      </c>
      <c r="I105" s="49">
        <f>(298.6)*0.6</f>
        <v>179.16</v>
      </c>
      <c r="J105" s="5">
        <f t="shared" si="23"/>
        <v>114053.960828</v>
      </c>
      <c r="K105" s="5">
        <f t="shared" si="26"/>
        <v>6094.9051904023936</v>
      </c>
      <c r="L105" s="5">
        <f t="shared" si="21"/>
        <v>1.796896781027443</v>
      </c>
      <c r="M105" s="5">
        <f t="shared" si="24"/>
        <v>22117</v>
      </c>
      <c r="N105" s="5">
        <f t="shared" si="25"/>
        <v>0</v>
      </c>
    </row>
    <row r="106" spans="1:14" s="13" customFormat="1" ht="31.5" x14ac:dyDescent="0.25">
      <c r="A106" s="33" t="s">
        <v>752</v>
      </c>
      <c r="B106" s="34" t="s">
        <v>985</v>
      </c>
      <c r="C106" s="18" t="s">
        <v>519</v>
      </c>
      <c r="D106" s="32" t="s">
        <v>1175</v>
      </c>
      <c r="E106" s="5">
        <v>29.975999999999999</v>
      </c>
      <c r="F106" s="5">
        <v>7.0999999999999994E-2</v>
      </c>
      <c r="G106" s="5">
        <f t="shared" si="22"/>
        <v>30.047000000000001</v>
      </c>
      <c r="H106" s="49">
        <v>39112.611546</v>
      </c>
      <c r="I106" s="49"/>
      <c r="J106" s="5">
        <f t="shared" si="23"/>
        <v>39112.611546</v>
      </c>
      <c r="K106" s="5">
        <f t="shared" si="26"/>
        <v>1301.7143656937465</v>
      </c>
      <c r="L106" s="5">
        <f t="shared" si="21"/>
        <v>0.38377075286020096</v>
      </c>
      <c r="M106" s="5">
        <f t="shared" si="24"/>
        <v>0</v>
      </c>
      <c r="N106" s="5">
        <f t="shared" si="25"/>
        <v>42089.9</v>
      </c>
    </row>
    <row r="107" spans="1:14" s="13" customFormat="1" ht="15.75" x14ac:dyDescent="0.25">
      <c r="A107" s="33" t="s">
        <v>752</v>
      </c>
      <c r="B107" s="34" t="s">
        <v>984</v>
      </c>
      <c r="C107" s="18" t="s">
        <v>520</v>
      </c>
      <c r="D107" s="32" t="s">
        <v>1176</v>
      </c>
      <c r="E107" s="5">
        <v>5.4749999999999996</v>
      </c>
      <c r="F107" s="5">
        <v>5.0000000000000001E-3</v>
      </c>
      <c r="G107" s="5">
        <f t="shared" si="22"/>
        <v>5.4799999999999995</v>
      </c>
      <c r="H107" s="49">
        <v>14829.0749</v>
      </c>
      <c r="I107" s="49">
        <f>(-8231-31.8)*0.6</f>
        <v>-4957.6799999999994</v>
      </c>
      <c r="J107" s="5">
        <f t="shared" si="23"/>
        <v>9871.3948999999993</v>
      </c>
      <c r="K107" s="5">
        <f t="shared" si="26"/>
        <v>1801.3494343065693</v>
      </c>
      <c r="L107" s="5">
        <f t="shared" si="21"/>
        <v>0.53107290415413</v>
      </c>
      <c r="M107" s="5">
        <f t="shared" si="24"/>
        <v>0</v>
      </c>
      <c r="N107" s="5">
        <f t="shared" si="25"/>
        <v>5486</v>
      </c>
    </row>
    <row r="108" spans="1:14" s="12" customFormat="1" ht="31.5" x14ac:dyDescent="0.25">
      <c r="A108" s="33" t="s">
        <v>752</v>
      </c>
      <c r="B108" s="34" t="s">
        <v>985</v>
      </c>
      <c r="C108" s="18" t="s">
        <v>521</v>
      </c>
      <c r="D108" s="32" t="s">
        <v>1177</v>
      </c>
      <c r="E108" s="5">
        <v>8.3079999999999998</v>
      </c>
      <c r="F108" s="5">
        <v>8.9999999999999993E-3</v>
      </c>
      <c r="G108" s="5">
        <f t="shared" si="22"/>
        <v>8.3170000000000002</v>
      </c>
      <c r="H108" s="49">
        <v>10772.014143999999</v>
      </c>
      <c r="I108" s="49"/>
      <c r="J108" s="5">
        <f t="shared" si="23"/>
        <v>10772.014143999999</v>
      </c>
      <c r="K108" s="5">
        <f t="shared" si="26"/>
        <v>1295.1802505711191</v>
      </c>
      <c r="L108" s="5">
        <f t="shared" si="21"/>
        <v>0.3818443684351896</v>
      </c>
      <c r="M108" s="5">
        <f t="shared" si="24"/>
        <v>0</v>
      </c>
      <c r="N108" s="5">
        <f t="shared" si="25"/>
        <v>11693.9</v>
      </c>
    </row>
    <row r="109" spans="1:14" s="24" customFormat="1" ht="31.5" x14ac:dyDescent="0.25">
      <c r="A109" s="33" t="s">
        <v>752</v>
      </c>
      <c r="B109" s="34" t="s">
        <v>983</v>
      </c>
      <c r="C109" s="18" t="s">
        <v>522</v>
      </c>
      <c r="D109" s="32" t="s">
        <v>1178</v>
      </c>
      <c r="E109" s="5">
        <v>15.887</v>
      </c>
      <c r="F109" s="5">
        <v>3.5000000000000003E-2</v>
      </c>
      <c r="G109" s="5">
        <f t="shared" si="22"/>
        <v>15.922000000000001</v>
      </c>
      <c r="H109" s="49">
        <v>28405.048730000002</v>
      </c>
      <c r="I109" s="49"/>
      <c r="J109" s="5">
        <f t="shared" si="23"/>
        <v>28405.048730000002</v>
      </c>
      <c r="K109" s="5">
        <f t="shared" si="26"/>
        <v>1784.0126070845372</v>
      </c>
      <c r="L109" s="5">
        <f t="shared" si="21"/>
        <v>0.52596166976158298</v>
      </c>
      <c r="M109" s="5">
        <f t="shared" si="24"/>
        <v>0</v>
      </c>
      <c r="N109" s="5">
        <f t="shared" si="25"/>
        <v>16160.2</v>
      </c>
    </row>
    <row r="110" spans="1:14" s="24" customFormat="1" ht="31.5" x14ac:dyDescent="0.25">
      <c r="A110" s="33" t="s">
        <v>752</v>
      </c>
      <c r="B110" s="34" t="s">
        <v>985</v>
      </c>
      <c r="C110" s="18" t="s">
        <v>523</v>
      </c>
      <c r="D110" s="32" t="s">
        <v>1179</v>
      </c>
      <c r="E110" s="5">
        <v>20.762</v>
      </c>
      <c r="F110" s="5">
        <v>4.2000000000000003E-2</v>
      </c>
      <c r="G110" s="5">
        <f t="shared" si="22"/>
        <v>20.804000000000002</v>
      </c>
      <c r="H110" s="49">
        <v>21853.484292000001</v>
      </c>
      <c r="I110" s="49"/>
      <c r="J110" s="5">
        <f t="shared" si="23"/>
        <v>21853.484292000001</v>
      </c>
      <c r="K110" s="5">
        <f t="shared" si="26"/>
        <v>1050.4462743703134</v>
      </c>
      <c r="L110" s="5">
        <f t="shared" si="21"/>
        <v>0.30969202474725754</v>
      </c>
      <c r="M110" s="5">
        <f t="shared" si="24"/>
        <v>0</v>
      </c>
      <c r="N110" s="5">
        <f t="shared" si="25"/>
        <v>33324.199999999997</v>
      </c>
    </row>
    <row r="111" spans="1:14" s="24" customFormat="1" ht="31.5" x14ac:dyDescent="0.25">
      <c r="A111" s="33" t="s">
        <v>752</v>
      </c>
      <c r="B111" s="34" t="s">
        <v>984</v>
      </c>
      <c r="C111" s="18" t="s">
        <v>524</v>
      </c>
      <c r="D111" s="32" t="s">
        <v>1180</v>
      </c>
      <c r="E111" s="5">
        <v>3.7519999999999998</v>
      </c>
      <c r="F111" s="5">
        <v>5.0000000000000001E-3</v>
      </c>
      <c r="G111" s="5">
        <f t="shared" si="22"/>
        <v>3.7569999999999997</v>
      </c>
      <c r="H111" s="49">
        <v>2153.4762000000001</v>
      </c>
      <c r="I111" s="49"/>
      <c r="J111" s="5">
        <f t="shared" si="23"/>
        <v>2153.4762000000001</v>
      </c>
      <c r="K111" s="5">
        <f t="shared" si="26"/>
        <v>573.19036465264844</v>
      </c>
      <c r="L111" s="5">
        <f t="shared" si="21"/>
        <v>0.16898768544950749</v>
      </c>
      <c r="M111" s="5">
        <f t="shared" si="24"/>
        <v>0</v>
      </c>
      <c r="N111" s="5">
        <f t="shared" si="25"/>
        <v>7452.5</v>
      </c>
    </row>
    <row r="112" spans="1:14" s="24" customFormat="1" ht="31.5" x14ac:dyDescent="0.25">
      <c r="A112" s="33" t="s">
        <v>752</v>
      </c>
      <c r="B112" s="34" t="s">
        <v>984</v>
      </c>
      <c r="C112" s="18" t="s">
        <v>525</v>
      </c>
      <c r="D112" s="32" t="s">
        <v>1181</v>
      </c>
      <c r="E112" s="5">
        <v>5.1779999999999999</v>
      </c>
      <c r="F112" s="5">
        <v>2E-3</v>
      </c>
      <c r="G112" s="5">
        <f t="shared" si="22"/>
        <v>5.18</v>
      </c>
      <c r="H112" s="49">
        <v>5838.4092699999992</v>
      </c>
      <c r="I112" s="49"/>
      <c r="J112" s="5">
        <f t="shared" si="23"/>
        <v>5838.4092699999992</v>
      </c>
      <c r="K112" s="5">
        <f t="shared" si="26"/>
        <v>1127.1060366795366</v>
      </c>
      <c r="L112" s="5">
        <f t="shared" si="21"/>
        <v>0.33229281603514921</v>
      </c>
      <c r="M112" s="5">
        <f t="shared" si="24"/>
        <v>0</v>
      </c>
      <c r="N112" s="5">
        <f t="shared" si="25"/>
        <v>7979.7</v>
      </c>
    </row>
    <row r="113" spans="1:14" s="24" customFormat="1" ht="31.5" x14ac:dyDescent="0.25">
      <c r="A113" s="33" t="s">
        <v>752</v>
      </c>
      <c r="B113" s="34" t="s">
        <v>984</v>
      </c>
      <c r="C113" s="18" t="s">
        <v>526</v>
      </c>
      <c r="D113" s="32" t="s">
        <v>2870</v>
      </c>
      <c r="E113" s="5">
        <v>9.2690000000000001</v>
      </c>
      <c r="F113" s="5">
        <v>1.0999999999999999E-2</v>
      </c>
      <c r="G113" s="5">
        <f t="shared" si="22"/>
        <v>9.2799999999999994</v>
      </c>
      <c r="H113" s="49">
        <v>6722.1436940000003</v>
      </c>
      <c r="I113" s="49"/>
      <c r="J113" s="5">
        <f t="shared" ref="J113:J125" si="27">H113+I113</f>
        <v>6722.1436940000003</v>
      </c>
      <c r="K113" s="5">
        <f t="shared" si="26"/>
        <v>724.36893254310348</v>
      </c>
      <c r="L113" s="5">
        <f t="shared" si="21"/>
        <v>0.21355807227528889</v>
      </c>
      <c r="M113" s="5">
        <f t="shared" si="24"/>
        <v>0</v>
      </c>
      <c r="N113" s="5">
        <f t="shared" si="25"/>
        <v>17285.599999999999</v>
      </c>
    </row>
    <row r="114" spans="1:14" s="24" customFormat="1" ht="31.5" x14ac:dyDescent="0.25">
      <c r="A114" s="33" t="s">
        <v>752</v>
      </c>
      <c r="B114" s="34" t="s">
        <v>984</v>
      </c>
      <c r="C114" s="18" t="s">
        <v>527</v>
      </c>
      <c r="D114" s="32" t="s">
        <v>1183</v>
      </c>
      <c r="E114" s="5">
        <v>3.218</v>
      </c>
      <c r="F114" s="5">
        <v>0</v>
      </c>
      <c r="G114" s="5">
        <f t="shared" si="22"/>
        <v>3.218</v>
      </c>
      <c r="H114" s="49">
        <v>2176.4583499999999</v>
      </c>
      <c r="I114" s="49"/>
      <c r="J114" s="5">
        <f t="shared" si="27"/>
        <v>2176.4583499999999</v>
      </c>
      <c r="K114" s="5">
        <f t="shared" si="26"/>
        <v>676.33882846488495</v>
      </c>
      <c r="L114" s="5">
        <f t="shared" si="21"/>
        <v>0.1993978619497094</v>
      </c>
      <c r="M114" s="5">
        <f t="shared" si="24"/>
        <v>0</v>
      </c>
      <c r="N114" s="5">
        <f t="shared" si="25"/>
        <v>6117.7</v>
      </c>
    </row>
    <row r="115" spans="1:14" s="24" customFormat="1" ht="31.5" x14ac:dyDescent="0.25">
      <c r="A115" s="33" t="s">
        <v>752</v>
      </c>
      <c r="B115" s="34" t="s">
        <v>984</v>
      </c>
      <c r="C115" s="18" t="s">
        <v>528</v>
      </c>
      <c r="D115" s="32" t="s">
        <v>2871</v>
      </c>
      <c r="E115" s="5">
        <v>4.2770000000000001</v>
      </c>
      <c r="F115" s="5">
        <v>7.0000000000000001E-3</v>
      </c>
      <c r="G115" s="5">
        <f t="shared" si="22"/>
        <v>4.2839999999999998</v>
      </c>
      <c r="H115" s="49">
        <v>4183.4869819999994</v>
      </c>
      <c r="I115" s="49"/>
      <c r="J115" s="5">
        <f t="shared" si="27"/>
        <v>4183.4869819999994</v>
      </c>
      <c r="K115" s="5">
        <f t="shared" si="26"/>
        <v>976.53757749766567</v>
      </c>
      <c r="L115" s="5">
        <f t="shared" si="21"/>
        <v>0.28790230114179061</v>
      </c>
      <c r="M115" s="5">
        <f t="shared" si="24"/>
        <v>0</v>
      </c>
      <c r="N115" s="5">
        <f t="shared" si="25"/>
        <v>7115.5</v>
      </c>
    </row>
    <row r="116" spans="1:14" s="24" customFormat="1" ht="15.75" x14ac:dyDescent="0.25">
      <c r="A116" s="33" t="s">
        <v>752</v>
      </c>
      <c r="B116" s="34" t="s">
        <v>985</v>
      </c>
      <c r="C116" s="18" t="s">
        <v>529</v>
      </c>
      <c r="D116" s="32" t="s">
        <v>1185</v>
      </c>
      <c r="E116" s="5">
        <v>5.0430000000000001</v>
      </c>
      <c r="F116" s="5">
        <v>6.0000000000000001E-3</v>
      </c>
      <c r="G116" s="5">
        <f t="shared" si="22"/>
        <v>5.0490000000000004</v>
      </c>
      <c r="H116" s="49">
        <v>6713.5737720000006</v>
      </c>
      <c r="I116" s="49"/>
      <c r="J116" s="5">
        <f t="shared" si="27"/>
        <v>6713.5737720000006</v>
      </c>
      <c r="K116" s="5">
        <f t="shared" si="26"/>
        <v>1329.6838526440879</v>
      </c>
      <c r="L116" s="5">
        <f t="shared" si="21"/>
        <v>0.39201670246860487</v>
      </c>
      <c r="M116" s="5">
        <f t="shared" si="24"/>
        <v>0</v>
      </c>
      <c r="N116" s="5">
        <f t="shared" si="25"/>
        <v>6959.7</v>
      </c>
    </row>
    <row r="117" spans="1:14" ht="15.75" x14ac:dyDescent="0.25">
      <c r="A117" s="33" t="s">
        <v>752</v>
      </c>
      <c r="B117" s="34" t="s">
        <v>985</v>
      </c>
      <c r="C117" s="18" t="s">
        <v>530</v>
      </c>
      <c r="D117" s="32" t="s">
        <v>2872</v>
      </c>
      <c r="E117" s="5">
        <v>18.451000000000001</v>
      </c>
      <c r="F117" s="5">
        <v>3.2000000000000001E-2</v>
      </c>
      <c r="G117" s="5">
        <f t="shared" si="22"/>
        <v>18.483000000000001</v>
      </c>
      <c r="H117" s="49">
        <v>35396.279945999995</v>
      </c>
      <c r="I117" s="49"/>
      <c r="J117" s="5">
        <f t="shared" si="27"/>
        <v>35396.279945999995</v>
      </c>
      <c r="K117" s="5">
        <f t="shared" si="26"/>
        <v>1915.0722256127249</v>
      </c>
      <c r="L117" s="5">
        <f t="shared" ref="L117:L140" si="28">K117/$K$1659</f>
        <v>0.56460059839115806</v>
      </c>
      <c r="M117" s="5">
        <f t="shared" si="24"/>
        <v>0</v>
      </c>
      <c r="N117" s="5">
        <f t="shared" si="25"/>
        <v>16821.599999999999</v>
      </c>
    </row>
    <row r="118" spans="1:14" ht="31.5" x14ac:dyDescent="0.25">
      <c r="A118" s="33" t="s">
        <v>752</v>
      </c>
      <c r="B118" s="34" t="s">
        <v>984</v>
      </c>
      <c r="C118" s="18" t="s">
        <v>531</v>
      </c>
      <c r="D118" s="32" t="s">
        <v>1187</v>
      </c>
      <c r="E118" s="5">
        <v>5.726</v>
      </c>
      <c r="F118" s="5">
        <v>1.0999999999999999E-2</v>
      </c>
      <c r="G118" s="5">
        <f t="shared" si="22"/>
        <v>5.7370000000000001</v>
      </c>
      <c r="H118" s="49">
        <v>11681.368072000001</v>
      </c>
      <c r="I118" s="49"/>
      <c r="J118" s="5">
        <f t="shared" si="27"/>
        <v>11681.368072000001</v>
      </c>
      <c r="K118" s="5">
        <f t="shared" si="26"/>
        <v>2036.1457333100925</v>
      </c>
      <c r="L118" s="5">
        <f t="shared" si="28"/>
        <v>0.60029542701485616</v>
      </c>
      <c r="M118" s="5">
        <f t="shared" ref="M118:M139" si="29">ROUND(IF(L118&lt;110%,0,(K118-$K$1659*1.1)*0.5)*G118,1)</f>
        <v>0</v>
      </c>
      <c r="N118" s="5">
        <f t="shared" ref="N118:N139" si="30">ROUND(IF(L118&gt;90%,0,(-K118+$K$1659*0.9)*0.8)*G118,1)</f>
        <v>4665.6000000000004</v>
      </c>
    </row>
    <row r="119" spans="1:14" ht="31.5" x14ac:dyDescent="0.25">
      <c r="A119" s="33" t="s">
        <v>752</v>
      </c>
      <c r="B119" s="34" t="s">
        <v>984</v>
      </c>
      <c r="C119" s="18" t="s">
        <v>532</v>
      </c>
      <c r="D119" s="32" t="s">
        <v>1188</v>
      </c>
      <c r="E119" s="5">
        <v>8.9939999999999998</v>
      </c>
      <c r="F119" s="5">
        <v>6.0000000000000001E-3</v>
      </c>
      <c r="G119" s="5">
        <f t="shared" si="22"/>
        <v>9</v>
      </c>
      <c r="H119" s="49">
        <v>21242.383232</v>
      </c>
      <c r="I119" s="49"/>
      <c r="J119" s="5">
        <f t="shared" si="27"/>
        <v>21242.383232</v>
      </c>
      <c r="K119" s="5">
        <f t="shared" si="26"/>
        <v>2360.2648035555558</v>
      </c>
      <c r="L119" s="5">
        <f t="shared" si="28"/>
        <v>0.69585204287670666</v>
      </c>
      <c r="M119" s="5">
        <f t="shared" si="29"/>
        <v>0</v>
      </c>
      <c r="N119" s="5">
        <f t="shared" si="30"/>
        <v>4985.6000000000004</v>
      </c>
    </row>
    <row r="120" spans="1:14" ht="31.5" x14ac:dyDescent="0.25">
      <c r="A120" s="33" t="s">
        <v>752</v>
      </c>
      <c r="B120" s="34" t="s">
        <v>984</v>
      </c>
      <c r="C120" s="18" t="s">
        <v>676</v>
      </c>
      <c r="D120" s="32" t="s">
        <v>1189</v>
      </c>
      <c r="E120" s="5">
        <v>8.1210000000000004</v>
      </c>
      <c r="F120" s="5">
        <v>1.0999999999999999E-2</v>
      </c>
      <c r="G120" s="5">
        <f t="shared" si="22"/>
        <v>8.1319999999999997</v>
      </c>
      <c r="H120" s="49">
        <v>12494.88967</v>
      </c>
      <c r="I120" s="49"/>
      <c r="J120" s="5">
        <f t="shared" si="27"/>
        <v>12494.88967</v>
      </c>
      <c r="K120" s="5">
        <f t="shared" si="26"/>
        <v>1536.5088133300542</v>
      </c>
      <c r="L120" s="5">
        <f t="shared" si="28"/>
        <v>0.45299272990180661</v>
      </c>
      <c r="M120" s="5">
        <f t="shared" si="29"/>
        <v>0</v>
      </c>
      <c r="N120" s="5">
        <f t="shared" si="30"/>
        <v>9863.7999999999993</v>
      </c>
    </row>
    <row r="121" spans="1:14" ht="31.5" x14ac:dyDescent="0.25">
      <c r="A121" s="33" t="s">
        <v>752</v>
      </c>
      <c r="B121" s="34" t="s">
        <v>985</v>
      </c>
      <c r="C121" s="30" t="s">
        <v>738</v>
      </c>
      <c r="D121" s="32" t="s">
        <v>1190</v>
      </c>
      <c r="E121" s="5">
        <v>13.534000000000001</v>
      </c>
      <c r="F121" s="5">
        <v>1.7000000000000001E-2</v>
      </c>
      <c r="G121" s="5">
        <f t="shared" si="22"/>
        <v>13.551</v>
      </c>
      <c r="H121" s="49">
        <v>32236.914775999998</v>
      </c>
      <c r="I121" s="49"/>
      <c r="J121" s="5">
        <f t="shared" si="27"/>
        <v>32236.914775999998</v>
      </c>
      <c r="K121" s="5">
        <f t="shared" si="26"/>
        <v>2378.932534573094</v>
      </c>
      <c r="L121" s="5">
        <f t="shared" si="28"/>
        <v>0.70135565363464303</v>
      </c>
      <c r="M121" s="5">
        <f t="shared" si="29"/>
        <v>0</v>
      </c>
      <c r="N121" s="5">
        <f t="shared" si="30"/>
        <v>7304.3</v>
      </c>
    </row>
    <row r="122" spans="1:14" ht="15.75" x14ac:dyDescent="0.25">
      <c r="A122" s="33" t="s">
        <v>752</v>
      </c>
      <c r="B122" s="34" t="s">
        <v>983</v>
      </c>
      <c r="C122" s="30" t="s">
        <v>865</v>
      </c>
      <c r="D122" s="32" t="s">
        <v>1191</v>
      </c>
      <c r="E122" s="5">
        <v>23.442</v>
      </c>
      <c r="F122" s="5">
        <v>3.9E-2</v>
      </c>
      <c r="G122" s="5">
        <f t="shared" si="22"/>
        <v>23.481000000000002</v>
      </c>
      <c r="H122" s="49">
        <v>52769.106621999999</v>
      </c>
      <c r="I122" s="49"/>
      <c r="J122" s="5">
        <f t="shared" si="27"/>
        <v>52769.106621999999</v>
      </c>
      <c r="K122" s="5">
        <f t="shared" ref="K122:K140" si="31">J122/G122</f>
        <v>2247.3108735573442</v>
      </c>
      <c r="L122" s="5">
        <f t="shared" si="28"/>
        <v>0.66255102393094922</v>
      </c>
      <c r="M122" s="5">
        <f t="shared" si="29"/>
        <v>0</v>
      </c>
      <c r="N122" s="5">
        <f t="shared" si="30"/>
        <v>15129.4</v>
      </c>
    </row>
    <row r="123" spans="1:14" ht="31.5" x14ac:dyDescent="0.25">
      <c r="A123" s="33" t="s">
        <v>752</v>
      </c>
      <c r="B123" s="34" t="s">
        <v>984</v>
      </c>
      <c r="C123" s="30" t="s">
        <v>2736</v>
      </c>
      <c r="D123" s="32" t="s">
        <v>2873</v>
      </c>
      <c r="E123" s="5">
        <v>20.573</v>
      </c>
      <c r="F123" s="5">
        <v>5.6000000000000001E-2</v>
      </c>
      <c r="G123" s="5">
        <f>F123+E123</f>
        <v>20.629000000000001</v>
      </c>
      <c r="H123" s="49">
        <v>114600.039982</v>
      </c>
      <c r="I123" s="49"/>
      <c r="J123" s="5">
        <f>H123+I123</f>
        <v>114600.039982</v>
      </c>
      <c r="K123" s="5">
        <f t="shared" si="31"/>
        <v>5555.2881856609629</v>
      </c>
      <c r="L123" s="5">
        <f t="shared" si="28"/>
        <v>1.6378071761006221</v>
      </c>
      <c r="M123" s="5">
        <f t="shared" si="29"/>
        <v>18815.599999999999</v>
      </c>
      <c r="N123" s="5">
        <f t="shared" si="30"/>
        <v>0</v>
      </c>
    </row>
    <row r="124" spans="1:14" ht="31.5" x14ac:dyDescent="0.25">
      <c r="A124" s="33" t="s">
        <v>752</v>
      </c>
      <c r="B124" s="34" t="s">
        <v>985</v>
      </c>
      <c r="C124" s="30" t="s">
        <v>866</v>
      </c>
      <c r="D124" s="32" t="s">
        <v>1192</v>
      </c>
      <c r="E124" s="5">
        <v>11.973000000000001</v>
      </c>
      <c r="F124" s="5">
        <v>2.1999999999999999E-2</v>
      </c>
      <c r="G124" s="5">
        <f t="shared" si="22"/>
        <v>11.995000000000001</v>
      </c>
      <c r="H124" s="49">
        <v>19139.184730000001</v>
      </c>
      <c r="I124" s="49"/>
      <c r="J124" s="5">
        <f t="shared" si="27"/>
        <v>19139.184730000001</v>
      </c>
      <c r="K124" s="5">
        <f t="shared" si="31"/>
        <v>1595.5968928720299</v>
      </c>
      <c r="L124" s="5">
        <f t="shared" si="28"/>
        <v>0.47041304680735307</v>
      </c>
      <c r="M124" s="5">
        <f t="shared" si="29"/>
        <v>0</v>
      </c>
      <c r="N124" s="5">
        <f t="shared" si="30"/>
        <v>13982.5</v>
      </c>
    </row>
    <row r="125" spans="1:14" ht="15.75" x14ac:dyDescent="0.25">
      <c r="A125" s="33" t="s">
        <v>752</v>
      </c>
      <c r="B125" s="34" t="s">
        <v>986</v>
      </c>
      <c r="C125" s="30" t="s">
        <v>1021</v>
      </c>
      <c r="D125" s="32" t="s">
        <v>2874</v>
      </c>
      <c r="E125" s="5">
        <v>240.292</v>
      </c>
      <c r="F125" s="5">
        <v>1.5640000000000001</v>
      </c>
      <c r="G125" s="5">
        <f t="shared" si="22"/>
        <v>241.85599999999999</v>
      </c>
      <c r="H125" s="49">
        <v>1125647.736918</v>
      </c>
      <c r="I125" s="49">
        <f>(-298.6+34.4+41.3+66.9+24.8-77.9-253.9)*0.6</f>
        <v>-277.8</v>
      </c>
      <c r="J125" s="5">
        <f t="shared" si="27"/>
        <v>1125369.936918</v>
      </c>
      <c r="K125" s="5">
        <f t="shared" si="31"/>
        <v>4653.0577571695558</v>
      </c>
      <c r="L125" s="5">
        <f t="shared" si="28"/>
        <v>1.3718120700152745</v>
      </c>
      <c r="M125" s="5">
        <f t="shared" si="29"/>
        <v>111490.9</v>
      </c>
      <c r="N125" s="5">
        <f t="shared" si="30"/>
        <v>0</v>
      </c>
    </row>
    <row r="126" spans="1:14" ht="31.5" x14ac:dyDescent="0.25">
      <c r="A126" s="33" t="s">
        <v>752</v>
      </c>
      <c r="B126" s="34" t="s">
        <v>985</v>
      </c>
      <c r="C126" s="30" t="s">
        <v>1027</v>
      </c>
      <c r="D126" s="32" t="s">
        <v>2875</v>
      </c>
      <c r="E126" s="5">
        <v>9.5190000000000001</v>
      </c>
      <c r="F126" s="5">
        <v>4.0000000000000001E-3</v>
      </c>
      <c r="G126" s="5">
        <f t="shared" ref="G126:G139" si="32">F126+E126</f>
        <v>9.5229999999999997</v>
      </c>
      <c r="H126" s="49">
        <v>7067.4760859999997</v>
      </c>
      <c r="I126" s="49"/>
      <c r="J126" s="5">
        <f t="shared" ref="J126:J139" si="33">H126+I126</f>
        <v>7067.4760859999997</v>
      </c>
      <c r="K126" s="5">
        <f t="shared" si="31"/>
        <v>742.14807161608735</v>
      </c>
      <c r="L126" s="5">
        <f t="shared" si="28"/>
        <v>0.21879970881788696</v>
      </c>
      <c r="M126" s="5">
        <f t="shared" si="29"/>
        <v>0</v>
      </c>
      <c r="N126" s="5">
        <f t="shared" si="30"/>
        <v>17602.8</v>
      </c>
    </row>
    <row r="127" spans="1:14" ht="31.5" x14ac:dyDescent="0.25">
      <c r="A127" s="33" t="s">
        <v>752</v>
      </c>
      <c r="B127" s="34" t="s">
        <v>984</v>
      </c>
      <c r="C127" s="30" t="s">
        <v>1028</v>
      </c>
      <c r="D127" s="32" t="s">
        <v>2876</v>
      </c>
      <c r="E127" s="5">
        <v>5.6760000000000002</v>
      </c>
      <c r="F127" s="5">
        <v>1.2E-2</v>
      </c>
      <c r="G127" s="5">
        <f t="shared" si="32"/>
        <v>5.6879999999999997</v>
      </c>
      <c r="H127" s="49">
        <v>4540.6451880000004</v>
      </c>
      <c r="I127" s="49"/>
      <c r="J127" s="5">
        <f t="shared" si="33"/>
        <v>4540.6451880000004</v>
      </c>
      <c r="K127" s="5">
        <f t="shared" si="31"/>
        <v>798.28501898734191</v>
      </c>
      <c r="L127" s="5">
        <f t="shared" si="28"/>
        <v>0.23534997447041217</v>
      </c>
      <c r="M127" s="5">
        <f t="shared" si="29"/>
        <v>0</v>
      </c>
      <c r="N127" s="5">
        <f t="shared" si="30"/>
        <v>10258.6</v>
      </c>
    </row>
    <row r="128" spans="1:14" ht="31.5" x14ac:dyDescent="0.25">
      <c r="A128" s="33" t="s">
        <v>752</v>
      </c>
      <c r="B128" s="34" t="s">
        <v>984</v>
      </c>
      <c r="C128" s="30" t="s">
        <v>1055</v>
      </c>
      <c r="D128" s="32" t="s">
        <v>2877</v>
      </c>
      <c r="E128" s="5">
        <v>9.6479999999999997</v>
      </c>
      <c r="F128" s="5">
        <v>1.2E-2</v>
      </c>
      <c r="G128" s="5">
        <f t="shared" si="32"/>
        <v>9.66</v>
      </c>
      <c r="H128" s="49">
        <v>5801.1541559999987</v>
      </c>
      <c r="I128" s="49"/>
      <c r="J128" s="5">
        <f t="shared" si="33"/>
        <v>5801.1541559999987</v>
      </c>
      <c r="K128" s="5">
        <f t="shared" si="31"/>
        <v>600.533556521739</v>
      </c>
      <c r="L128" s="5">
        <f t="shared" si="28"/>
        <v>0.17704899106751018</v>
      </c>
      <c r="M128" s="5">
        <f t="shared" si="29"/>
        <v>0</v>
      </c>
      <c r="N128" s="5">
        <f t="shared" si="30"/>
        <v>18950.5</v>
      </c>
    </row>
    <row r="129" spans="1:14" ht="31.5" x14ac:dyDescent="0.25">
      <c r="A129" s="33" t="s">
        <v>752</v>
      </c>
      <c r="B129" s="34" t="s">
        <v>983</v>
      </c>
      <c r="C129" s="30" t="s">
        <v>1197</v>
      </c>
      <c r="D129" s="32" t="s">
        <v>1198</v>
      </c>
      <c r="E129" s="5">
        <v>9.3119999999999994</v>
      </c>
      <c r="F129" s="5">
        <v>2.3E-2</v>
      </c>
      <c r="G129" s="5">
        <f t="shared" si="32"/>
        <v>9.3349999999999991</v>
      </c>
      <c r="H129" s="49">
        <v>13935.139637999997</v>
      </c>
      <c r="I129" s="49"/>
      <c r="J129" s="5">
        <f t="shared" si="33"/>
        <v>13935.139637999997</v>
      </c>
      <c r="K129" s="5">
        <f t="shared" si="31"/>
        <v>1492.7841069094802</v>
      </c>
      <c r="L129" s="5">
        <f t="shared" si="28"/>
        <v>0.44010183467636144</v>
      </c>
      <c r="M129" s="5">
        <f t="shared" si="29"/>
        <v>0</v>
      </c>
      <c r="N129" s="5">
        <f t="shared" si="30"/>
        <v>11649.6</v>
      </c>
    </row>
    <row r="130" spans="1:14" ht="31.5" x14ac:dyDescent="0.25">
      <c r="A130" s="33" t="s">
        <v>752</v>
      </c>
      <c r="B130" s="34" t="s">
        <v>986</v>
      </c>
      <c r="C130" s="30" t="s">
        <v>1199</v>
      </c>
      <c r="D130" s="32" t="s">
        <v>1200</v>
      </c>
      <c r="E130" s="5">
        <v>42.226999999999997</v>
      </c>
      <c r="F130" s="5">
        <v>8.7999999999999995E-2</v>
      </c>
      <c r="G130" s="5">
        <f t="shared" si="32"/>
        <v>42.314999999999998</v>
      </c>
      <c r="H130" s="49">
        <v>197198.61051</v>
      </c>
      <c r="I130" s="49">
        <f>(-2830.7)*0.6</f>
        <v>-1698.4199999999998</v>
      </c>
      <c r="J130" s="5">
        <f t="shared" si="33"/>
        <v>195500.19050999999</v>
      </c>
      <c r="K130" s="5">
        <f t="shared" si="31"/>
        <v>4620.1155739099613</v>
      </c>
      <c r="L130" s="5">
        <f t="shared" si="28"/>
        <v>1.3621000726650299</v>
      </c>
      <c r="M130" s="5">
        <f t="shared" si="29"/>
        <v>18809.400000000001</v>
      </c>
      <c r="N130" s="5">
        <f t="shared" si="30"/>
        <v>0</v>
      </c>
    </row>
    <row r="131" spans="1:14" ht="15.75" x14ac:dyDescent="0.25">
      <c r="A131" s="33" t="s">
        <v>752</v>
      </c>
      <c r="B131" s="34" t="s">
        <v>983</v>
      </c>
      <c r="C131" s="30" t="s">
        <v>1201</v>
      </c>
      <c r="D131" s="32" t="s">
        <v>1202</v>
      </c>
      <c r="E131" s="5">
        <v>25.146999999999998</v>
      </c>
      <c r="F131" s="5">
        <v>0.05</v>
      </c>
      <c r="G131" s="5">
        <f t="shared" si="32"/>
        <v>25.196999999999999</v>
      </c>
      <c r="H131" s="49">
        <v>58728.043998000001</v>
      </c>
      <c r="I131" s="49"/>
      <c r="J131" s="5">
        <f t="shared" si="33"/>
        <v>58728.043998000001</v>
      </c>
      <c r="K131" s="5">
        <f t="shared" si="31"/>
        <v>2330.7554073103943</v>
      </c>
      <c r="L131" s="5">
        <f t="shared" si="28"/>
        <v>0.68715209801021515</v>
      </c>
      <c r="M131" s="5">
        <f t="shared" si="29"/>
        <v>0</v>
      </c>
      <c r="N131" s="5">
        <f t="shared" si="30"/>
        <v>14553</v>
      </c>
    </row>
    <row r="132" spans="1:14" ht="31.5" x14ac:dyDescent="0.25">
      <c r="A132" s="33" t="s">
        <v>752</v>
      </c>
      <c r="B132" s="34" t="s">
        <v>983</v>
      </c>
      <c r="C132" s="30" t="s">
        <v>1203</v>
      </c>
      <c r="D132" s="32" t="s">
        <v>1204</v>
      </c>
      <c r="E132" s="5">
        <v>55.874000000000002</v>
      </c>
      <c r="F132" s="5">
        <v>6.3E-2</v>
      </c>
      <c r="G132" s="5">
        <f t="shared" si="32"/>
        <v>55.937000000000005</v>
      </c>
      <c r="H132" s="49">
        <v>56093.081509999989</v>
      </c>
      <c r="I132" s="49"/>
      <c r="J132" s="5">
        <f t="shared" si="33"/>
        <v>56093.081509999989</v>
      </c>
      <c r="K132" s="5">
        <f t="shared" si="31"/>
        <v>1002.7903089189621</v>
      </c>
      <c r="L132" s="5">
        <f t="shared" si="28"/>
        <v>0.29564211777723054</v>
      </c>
      <c r="M132" s="5">
        <f t="shared" si="29"/>
        <v>0</v>
      </c>
      <c r="N132" s="5">
        <f t="shared" si="30"/>
        <v>91733.3</v>
      </c>
    </row>
    <row r="133" spans="1:14" ht="15.75" x14ac:dyDescent="0.25">
      <c r="A133" s="33" t="s">
        <v>752</v>
      </c>
      <c r="B133" s="34" t="s">
        <v>986</v>
      </c>
      <c r="C133" s="30" t="s">
        <v>1205</v>
      </c>
      <c r="D133" s="32" t="s">
        <v>2878</v>
      </c>
      <c r="E133" s="5">
        <v>73.37</v>
      </c>
      <c r="F133" s="5">
        <v>0.24399999999999999</v>
      </c>
      <c r="G133" s="5">
        <f t="shared" si="32"/>
        <v>73.614000000000004</v>
      </c>
      <c r="H133" s="49">
        <v>201854.68386800002</v>
      </c>
      <c r="I133" s="49">
        <f>(-2359.33+4868.09143)*0.6</f>
        <v>1505.2568580000002</v>
      </c>
      <c r="J133" s="5">
        <f t="shared" si="33"/>
        <v>203359.94072600003</v>
      </c>
      <c r="K133" s="5">
        <f t="shared" si="31"/>
        <v>2762.5171940935152</v>
      </c>
      <c r="L133" s="5">
        <f t="shared" si="28"/>
        <v>0.81444388362534559</v>
      </c>
      <c r="M133" s="5">
        <f t="shared" si="29"/>
        <v>0</v>
      </c>
      <c r="N133" s="5">
        <f t="shared" si="30"/>
        <v>17090.099999999999</v>
      </c>
    </row>
    <row r="134" spans="1:14" ht="31.5" x14ac:dyDescent="0.25">
      <c r="A134" s="33" t="s">
        <v>752</v>
      </c>
      <c r="B134" s="34" t="s">
        <v>985</v>
      </c>
      <c r="C134" s="30" t="s">
        <v>1207</v>
      </c>
      <c r="D134" s="32" t="s">
        <v>1208</v>
      </c>
      <c r="E134" s="5">
        <v>13.256</v>
      </c>
      <c r="F134" s="5">
        <v>8.0000000000000002E-3</v>
      </c>
      <c r="G134" s="5">
        <f t="shared" si="32"/>
        <v>13.263999999999999</v>
      </c>
      <c r="H134" s="49">
        <v>24279.136186000003</v>
      </c>
      <c r="I134" s="49"/>
      <c r="J134" s="5">
        <f t="shared" si="33"/>
        <v>24279.136186000003</v>
      </c>
      <c r="K134" s="5">
        <f t="shared" si="31"/>
        <v>1830.4535725271414</v>
      </c>
      <c r="L134" s="5">
        <f t="shared" si="28"/>
        <v>0.53965337106040379</v>
      </c>
      <c r="M134" s="5">
        <f t="shared" si="29"/>
        <v>0</v>
      </c>
      <c r="N134" s="5">
        <f t="shared" si="30"/>
        <v>12969.7</v>
      </c>
    </row>
    <row r="135" spans="1:14" ht="31.5" x14ac:dyDescent="0.25">
      <c r="A135" s="33" t="s">
        <v>752</v>
      </c>
      <c r="B135" s="34" t="s">
        <v>985</v>
      </c>
      <c r="C135" s="30" t="s">
        <v>1209</v>
      </c>
      <c r="D135" s="32" t="s">
        <v>2879</v>
      </c>
      <c r="E135" s="5">
        <v>26.728999999999999</v>
      </c>
      <c r="F135" s="5">
        <v>4.5999999999999999E-2</v>
      </c>
      <c r="G135" s="5">
        <f t="shared" si="32"/>
        <v>26.774999999999999</v>
      </c>
      <c r="H135" s="49">
        <v>49782.195339999998</v>
      </c>
      <c r="I135" s="49"/>
      <c r="J135" s="5">
        <f t="shared" si="33"/>
        <v>49782.195339999998</v>
      </c>
      <c r="K135" s="5">
        <f t="shared" si="31"/>
        <v>1859.2790042950514</v>
      </c>
      <c r="L135" s="5">
        <f t="shared" si="28"/>
        <v>0.54815166987513297</v>
      </c>
      <c r="M135" s="5">
        <f t="shared" si="29"/>
        <v>0</v>
      </c>
      <c r="N135" s="5">
        <f t="shared" si="30"/>
        <v>25563.4</v>
      </c>
    </row>
    <row r="136" spans="1:14" ht="31.5" x14ac:dyDescent="0.25">
      <c r="A136" s="33" t="s">
        <v>752</v>
      </c>
      <c r="B136" s="34" t="s">
        <v>986</v>
      </c>
      <c r="C136" s="30" t="s">
        <v>1211</v>
      </c>
      <c r="D136" s="32" t="s">
        <v>1212</v>
      </c>
      <c r="E136" s="5">
        <v>58.182000000000002</v>
      </c>
      <c r="F136" s="5">
        <v>0.22600000000000001</v>
      </c>
      <c r="G136" s="5">
        <f t="shared" si="32"/>
        <v>58.408000000000001</v>
      </c>
      <c r="H136" s="49">
        <v>122643.54802</v>
      </c>
      <c r="I136" s="49"/>
      <c r="J136" s="5">
        <f t="shared" si="33"/>
        <v>122643.54802</v>
      </c>
      <c r="K136" s="5">
        <f t="shared" si="31"/>
        <v>2099.7731136145735</v>
      </c>
      <c r="L136" s="5">
        <f t="shared" si="28"/>
        <v>0.61905401821236461</v>
      </c>
      <c r="M136" s="5">
        <f t="shared" si="29"/>
        <v>0</v>
      </c>
      <c r="N136" s="5">
        <f t="shared" si="30"/>
        <v>44527.6</v>
      </c>
    </row>
    <row r="137" spans="1:14" ht="15.75" x14ac:dyDescent="0.25">
      <c r="A137" s="33" t="s">
        <v>752</v>
      </c>
      <c r="B137" s="34" t="s">
        <v>985</v>
      </c>
      <c r="C137" s="30" t="s">
        <v>1213</v>
      </c>
      <c r="D137" s="32" t="s">
        <v>1214</v>
      </c>
      <c r="E137" s="5">
        <v>11.81</v>
      </c>
      <c r="F137" s="5">
        <v>8.9999999999999993E-3</v>
      </c>
      <c r="G137" s="5">
        <f t="shared" si="32"/>
        <v>11.819000000000001</v>
      </c>
      <c r="H137" s="49">
        <v>16262.426982000005</v>
      </c>
      <c r="I137" s="49"/>
      <c r="J137" s="5">
        <f t="shared" si="33"/>
        <v>16262.426982000005</v>
      </c>
      <c r="K137" s="5">
        <f t="shared" si="31"/>
        <v>1375.956255351553</v>
      </c>
      <c r="L137" s="5">
        <f t="shared" si="28"/>
        <v>0.40565870818944527</v>
      </c>
      <c r="M137" s="5">
        <f t="shared" si="29"/>
        <v>0</v>
      </c>
      <c r="N137" s="5">
        <f t="shared" si="30"/>
        <v>15854.1</v>
      </c>
    </row>
    <row r="138" spans="1:14" ht="31.5" x14ac:dyDescent="0.25">
      <c r="A138" s="33" t="s">
        <v>752</v>
      </c>
      <c r="B138" s="34" t="s">
        <v>985</v>
      </c>
      <c r="C138" s="30" t="s">
        <v>1215</v>
      </c>
      <c r="D138" s="32" t="s">
        <v>2880</v>
      </c>
      <c r="E138" s="5">
        <v>22.317</v>
      </c>
      <c r="F138" s="5">
        <v>2.1999999999999999E-2</v>
      </c>
      <c r="G138" s="5">
        <f t="shared" si="32"/>
        <v>22.338999999999999</v>
      </c>
      <c r="H138" s="49">
        <v>36612.864545999997</v>
      </c>
      <c r="I138" s="49">
        <f>(-1890)*0.6</f>
        <v>-1134</v>
      </c>
      <c r="J138" s="5">
        <f t="shared" si="33"/>
        <v>35478.864545999997</v>
      </c>
      <c r="K138" s="5">
        <f t="shared" si="31"/>
        <v>1588.2028983392274</v>
      </c>
      <c r="L138" s="5">
        <f t="shared" si="28"/>
        <v>0.4682331531814688</v>
      </c>
      <c r="M138" s="5">
        <f t="shared" si="29"/>
        <v>0</v>
      </c>
      <c r="N138" s="5">
        <f t="shared" si="30"/>
        <v>26172.6</v>
      </c>
    </row>
    <row r="139" spans="1:14" ht="31.5" x14ac:dyDescent="0.25">
      <c r="A139" s="33" t="s">
        <v>752</v>
      </c>
      <c r="B139" s="34" t="s">
        <v>983</v>
      </c>
      <c r="C139" s="30" t="s">
        <v>2732</v>
      </c>
      <c r="D139" s="32" t="s">
        <v>2881</v>
      </c>
      <c r="E139" s="5">
        <v>26.367999999999999</v>
      </c>
      <c r="F139" s="5">
        <v>8.5000000000000006E-2</v>
      </c>
      <c r="G139" s="5">
        <f t="shared" si="32"/>
        <v>26.452999999999999</v>
      </c>
      <c r="H139" s="49">
        <v>48234.847129999995</v>
      </c>
      <c r="I139" s="49"/>
      <c r="J139" s="5">
        <f t="shared" si="33"/>
        <v>48234.847129999995</v>
      </c>
      <c r="K139" s="5">
        <f t="shared" si="31"/>
        <v>1823.4168952481759</v>
      </c>
      <c r="L139" s="5">
        <f t="shared" si="28"/>
        <v>0.5375788215216164</v>
      </c>
      <c r="M139" s="5">
        <f t="shared" si="29"/>
        <v>0</v>
      </c>
      <c r="N139" s="5">
        <f t="shared" si="30"/>
        <v>26014.9</v>
      </c>
    </row>
    <row r="140" spans="1:14" ht="15.75" x14ac:dyDescent="0.25">
      <c r="A140" s="17" t="s">
        <v>756</v>
      </c>
      <c r="B140" s="17" t="s">
        <v>7</v>
      </c>
      <c r="C140" s="17" t="s">
        <v>757</v>
      </c>
      <c r="D140" s="11" t="s">
        <v>10</v>
      </c>
      <c r="E140" s="11">
        <f t="shared" ref="E140:J140" si="34">E141+E142+E150</f>
        <v>3142.0350000000003</v>
      </c>
      <c r="F140" s="11">
        <f t="shared" si="34"/>
        <v>71.623999999999995</v>
      </c>
      <c r="G140" s="11">
        <f t="shared" si="34"/>
        <v>3213.1469999999999</v>
      </c>
      <c r="H140" s="11">
        <f t="shared" si="34"/>
        <v>14785132.316000002</v>
      </c>
      <c r="I140" s="11">
        <f t="shared" si="34"/>
        <v>-10130.837777999999</v>
      </c>
      <c r="J140" s="11">
        <f t="shared" si="34"/>
        <v>14775001.478221999</v>
      </c>
      <c r="K140" s="11">
        <f t="shared" si="31"/>
        <v>4598.296149607223</v>
      </c>
      <c r="L140" s="11">
        <f t="shared" si="28"/>
        <v>1.3556672813305228</v>
      </c>
      <c r="M140" s="11">
        <f>M141+M142+M150</f>
        <v>2039504.0000000002</v>
      </c>
      <c r="N140" s="11">
        <f>N141+N142+N150</f>
        <v>442125.80000000005</v>
      </c>
    </row>
    <row r="141" spans="1:14" ht="15.75" x14ac:dyDescent="0.25">
      <c r="A141" s="33" t="s">
        <v>756</v>
      </c>
      <c r="B141" s="34" t="s">
        <v>6</v>
      </c>
      <c r="C141" s="18" t="s">
        <v>43</v>
      </c>
      <c r="D141" s="32" t="s">
        <v>839</v>
      </c>
      <c r="E141" s="5">
        <v>0</v>
      </c>
      <c r="F141" s="5">
        <v>0.51200000000000001</v>
      </c>
      <c r="G141" s="5"/>
      <c r="H141" s="5"/>
      <c r="I141" s="5"/>
      <c r="J141" s="5"/>
      <c r="K141" s="5"/>
      <c r="L141" s="5"/>
      <c r="M141" s="5"/>
      <c r="N141" s="5"/>
    </row>
    <row r="142" spans="1:14" ht="15.75" x14ac:dyDescent="0.25">
      <c r="A142" s="19" t="s">
        <v>756</v>
      </c>
      <c r="B142" s="19" t="s">
        <v>5</v>
      </c>
      <c r="C142" s="19" t="s">
        <v>758</v>
      </c>
      <c r="D142" s="7" t="s">
        <v>2795</v>
      </c>
      <c r="E142" s="7">
        <f t="shared" ref="E142:J142" si="35">SUM(E143:E149)</f>
        <v>0</v>
      </c>
      <c r="F142" s="7">
        <f t="shared" si="35"/>
        <v>0</v>
      </c>
      <c r="G142" s="7">
        <f t="shared" si="35"/>
        <v>0</v>
      </c>
      <c r="H142" s="7">
        <f t="shared" si="35"/>
        <v>0</v>
      </c>
      <c r="I142" s="7">
        <f t="shared" si="35"/>
        <v>0</v>
      </c>
      <c r="J142" s="7">
        <f t="shared" si="35"/>
        <v>0</v>
      </c>
      <c r="K142" s="7" t="e">
        <f>J142/G142</f>
        <v>#DIV/0!</v>
      </c>
      <c r="L142" s="7" t="e">
        <f>K142/$K$1659</f>
        <v>#DIV/0!</v>
      </c>
      <c r="M142" s="7">
        <f>SUM(M143:M149)</f>
        <v>0</v>
      </c>
      <c r="N142" s="7">
        <f>SUM(N143:N149)</f>
        <v>0</v>
      </c>
    </row>
    <row r="143" spans="1:14" ht="15.75" x14ac:dyDescent="0.25">
      <c r="A143" s="33" t="s">
        <v>756</v>
      </c>
      <c r="B143" s="34" t="s">
        <v>4</v>
      </c>
      <c r="C143" s="18" t="s">
        <v>44</v>
      </c>
      <c r="D143" s="32" t="s">
        <v>891</v>
      </c>
      <c r="E143" s="76"/>
      <c r="F143" s="76"/>
      <c r="G143" s="5"/>
      <c r="H143" s="5"/>
      <c r="I143" s="5"/>
      <c r="J143" s="5"/>
      <c r="K143" s="5"/>
      <c r="L143" s="5"/>
      <c r="M143" s="5"/>
      <c r="N143" s="5"/>
    </row>
    <row r="144" spans="1:14" ht="15.75" x14ac:dyDescent="0.25">
      <c r="A144" s="33" t="s">
        <v>756</v>
      </c>
      <c r="B144" s="34" t="s">
        <v>4</v>
      </c>
      <c r="C144" s="18" t="s">
        <v>45</v>
      </c>
      <c r="D144" s="32" t="s">
        <v>892</v>
      </c>
      <c r="E144" s="76"/>
      <c r="F144" s="76"/>
      <c r="G144" s="5"/>
      <c r="H144" s="5"/>
      <c r="I144" s="5"/>
      <c r="J144" s="5"/>
      <c r="K144" s="5"/>
      <c r="L144" s="5"/>
      <c r="M144" s="5"/>
      <c r="N144" s="5"/>
    </row>
    <row r="145" spans="1:14" ht="15.75" x14ac:dyDescent="0.25">
      <c r="A145" s="33" t="s">
        <v>756</v>
      </c>
      <c r="B145" s="34" t="s">
        <v>4</v>
      </c>
      <c r="C145" s="18" t="s">
        <v>46</v>
      </c>
      <c r="D145" s="32" t="s">
        <v>893</v>
      </c>
      <c r="E145" s="76"/>
      <c r="F145" s="76"/>
      <c r="G145" s="5"/>
      <c r="H145" s="5"/>
      <c r="I145" s="5"/>
      <c r="J145" s="5"/>
      <c r="K145" s="5"/>
      <c r="L145" s="5"/>
      <c r="M145" s="5"/>
      <c r="N145" s="5"/>
    </row>
    <row r="146" spans="1:14" ht="15.75" x14ac:dyDescent="0.25">
      <c r="A146" s="33" t="s">
        <v>756</v>
      </c>
      <c r="B146" s="34" t="s">
        <v>4</v>
      </c>
      <c r="C146" s="18" t="s">
        <v>47</v>
      </c>
      <c r="D146" s="32" t="s">
        <v>894</v>
      </c>
      <c r="E146" s="76"/>
      <c r="F146" s="76"/>
      <c r="G146" s="5"/>
      <c r="H146" s="5"/>
      <c r="I146" s="5"/>
      <c r="J146" s="5"/>
      <c r="K146" s="5"/>
      <c r="L146" s="5"/>
      <c r="M146" s="5"/>
      <c r="N146" s="5"/>
    </row>
    <row r="147" spans="1:14" ht="15.75" x14ac:dyDescent="0.25">
      <c r="A147" s="33" t="s">
        <v>756</v>
      </c>
      <c r="B147" s="34" t="s">
        <v>4</v>
      </c>
      <c r="C147" s="18" t="s">
        <v>1056</v>
      </c>
      <c r="D147" s="32" t="s">
        <v>1057</v>
      </c>
      <c r="E147" s="76"/>
      <c r="F147" s="76"/>
      <c r="G147" s="5"/>
      <c r="H147" s="5"/>
      <c r="I147" s="5"/>
      <c r="J147" s="5"/>
      <c r="K147" s="5"/>
      <c r="L147" s="5"/>
      <c r="M147" s="5"/>
      <c r="N147" s="5"/>
    </row>
    <row r="148" spans="1:14" ht="15.75" x14ac:dyDescent="0.25">
      <c r="A148" s="33" t="s">
        <v>756</v>
      </c>
      <c r="B148" s="34" t="s">
        <v>4</v>
      </c>
      <c r="C148" s="18" t="s">
        <v>2737</v>
      </c>
      <c r="D148" s="32" t="s">
        <v>2738</v>
      </c>
      <c r="E148" s="76"/>
      <c r="F148" s="76"/>
      <c r="G148" s="5"/>
      <c r="H148" s="5"/>
      <c r="I148" s="5"/>
      <c r="J148" s="5"/>
      <c r="K148" s="5"/>
      <c r="L148" s="5"/>
      <c r="M148" s="5"/>
      <c r="N148" s="5"/>
    </row>
    <row r="149" spans="1:14" ht="15.75" x14ac:dyDescent="0.25">
      <c r="A149" s="33" t="s">
        <v>756</v>
      </c>
      <c r="B149" s="34" t="s">
        <v>4</v>
      </c>
      <c r="C149" s="79" t="s">
        <v>1218</v>
      </c>
      <c r="D149" s="32" t="s">
        <v>1219</v>
      </c>
      <c r="E149" s="76"/>
      <c r="F149" s="76"/>
      <c r="G149" s="5"/>
      <c r="H149" s="5"/>
      <c r="I149" s="5"/>
      <c r="J149" s="5"/>
      <c r="K149" s="5"/>
      <c r="L149" s="5"/>
      <c r="M149" s="5"/>
      <c r="N149" s="5"/>
    </row>
    <row r="150" spans="1:14" ht="31.5" x14ac:dyDescent="0.25">
      <c r="A150" s="19" t="s">
        <v>756</v>
      </c>
      <c r="B150" s="19" t="s">
        <v>28</v>
      </c>
      <c r="C150" s="19" t="s">
        <v>759</v>
      </c>
      <c r="D150" s="20" t="s">
        <v>2770</v>
      </c>
      <c r="E150" s="7">
        <f t="shared" ref="E150:J150" si="36">SUM(E151:E236)</f>
        <v>3142.0350000000003</v>
      </c>
      <c r="F150" s="7">
        <f t="shared" si="36"/>
        <v>71.111999999999995</v>
      </c>
      <c r="G150" s="7">
        <f t="shared" si="36"/>
        <v>3213.1469999999999</v>
      </c>
      <c r="H150" s="7">
        <f t="shared" si="36"/>
        <v>14785132.316000002</v>
      </c>
      <c r="I150" s="7">
        <f t="shared" si="36"/>
        <v>-10130.837777999999</v>
      </c>
      <c r="J150" s="7">
        <f t="shared" si="36"/>
        <v>14775001.478221999</v>
      </c>
      <c r="K150" s="7">
        <f t="shared" ref="K150:K178" si="37">J150/G150</f>
        <v>4598.296149607223</v>
      </c>
      <c r="L150" s="7">
        <f t="shared" ref="L150:L181" si="38">K150/$K$1659</f>
        <v>1.3556672813305228</v>
      </c>
      <c r="M150" s="7">
        <f>SUM(M151:M236)</f>
        <v>2039504.0000000002</v>
      </c>
      <c r="N150" s="7">
        <f>SUM(N151:N236)</f>
        <v>442125.80000000005</v>
      </c>
    </row>
    <row r="151" spans="1:14" ht="31.5" x14ac:dyDescent="0.25">
      <c r="A151" s="33" t="s">
        <v>756</v>
      </c>
      <c r="B151" s="34" t="s">
        <v>983</v>
      </c>
      <c r="C151" s="18" t="s">
        <v>48</v>
      </c>
      <c r="D151" s="32" t="s">
        <v>2882</v>
      </c>
      <c r="E151" s="76">
        <v>22.207999999999998</v>
      </c>
      <c r="F151" s="76">
        <v>0.11</v>
      </c>
      <c r="G151" s="5">
        <f t="shared" ref="G151:G215" si="39">F151+E151</f>
        <v>22.317999999999998</v>
      </c>
      <c r="H151" s="5">
        <v>56597.11</v>
      </c>
      <c r="I151" s="5"/>
      <c r="J151" s="5">
        <f t="shared" ref="J151:J180" si="40">H151+I151</f>
        <v>56597.11</v>
      </c>
      <c r="K151" s="5">
        <f t="shared" si="37"/>
        <v>2535.9400483914333</v>
      </c>
      <c r="L151" s="5">
        <f t="shared" si="38"/>
        <v>0.74764452726988151</v>
      </c>
      <c r="M151" s="5">
        <f t="shared" ref="M151:M182" si="41">ROUND(IF(L151&lt;110%,0,(K151-$K$1659*1.1)*0.5)*G151,1)</f>
        <v>0</v>
      </c>
      <c r="N151" s="5">
        <f t="shared" ref="N151:N182" si="42">ROUND(IF(L151&gt;90%,0,(-K151+$K$1659*0.9)*0.8)*G151,1)</f>
        <v>9226.7000000000007</v>
      </c>
    </row>
    <row r="152" spans="1:14" ht="31.5" x14ac:dyDescent="0.25">
      <c r="A152" s="33" t="s">
        <v>756</v>
      </c>
      <c r="B152" s="34" t="s">
        <v>984</v>
      </c>
      <c r="C152" s="18" t="s">
        <v>49</v>
      </c>
      <c r="D152" s="32" t="s">
        <v>2883</v>
      </c>
      <c r="E152" s="5">
        <v>9.7370000000000001</v>
      </c>
      <c r="F152" s="5">
        <v>0.17799999999999999</v>
      </c>
      <c r="G152" s="5">
        <f t="shared" si="39"/>
        <v>9.9150000000000009</v>
      </c>
      <c r="H152" s="49">
        <v>104810.93799999999</v>
      </c>
      <c r="I152" s="49"/>
      <c r="J152" s="5">
        <f t="shared" si="40"/>
        <v>104810.93799999999</v>
      </c>
      <c r="K152" s="5">
        <f t="shared" si="37"/>
        <v>10570.946848209782</v>
      </c>
      <c r="L152" s="5">
        <f t="shared" si="38"/>
        <v>3.1165210566148747</v>
      </c>
      <c r="M152" s="5">
        <f t="shared" si="41"/>
        <v>33908.6</v>
      </c>
      <c r="N152" s="5">
        <f t="shared" si="42"/>
        <v>0</v>
      </c>
    </row>
    <row r="153" spans="1:14" ht="31.5" x14ac:dyDescent="0.25">
      <c r="A153" s="33" t="s">
        <v>756</v>
      </c>
      <c r="B153" s="34" t="s">
        <v>984</v>
      </c>
      <c r="C153" s="18" t="s">
        <v>50</v>
      </c>
      <c r="D153" s="32" t="s">
        <v>2884</v>
      </c>
      <c r="E153" s="76">
        <v>8.0969999999999995</v>
      </c>
      <c r="F153" s="76">
        <v>0.13200000000000001</v>
      </c>
      <c r="G153" s="5">
        <f t="shared" si="39"/>
        <v>8.2289999999999992</v>
      </c>
      <c r="H153" s="5">
        <v>125058.954</v>
      </c>
      <c r="I153" s="5"/>
      <c r="J153" s="5">
        <f t="shared" si="40"/>
        <v>125058.954</v>
      </c>
      <c r="K153" s="5">
        <f t="shared" si="37"/>
        <v>15197.345242435291</v>
      </c>
      <c r="L153" s="5">
        <f t="shared" si="38"/>
        <v>4.4804734271004776</v>
      </c>
      <c r="M153" s="5">
        <f t="shared" si="41"/>
        <v>47177.9</v>
      </c>
      <c r="N153" s="5">
        <f t="shared" si="42"/>
        <v>0</v>
      </c>
    </row>
    <row r="154" spans="1:14" ht="31.5" x14ac:dyDescent="0.25">
      <c r="A154" s="33" t="s">
        <v>756</v>
      </c>
      <c r="B154" s="34" t="s">
        <v>984</v>
      </c>
      <c r="C154" s="18" t="s">
        <v>51</v>
      </c>
      <c r="D154" s="32" t="s">
        <v>2885</v>
      </c>
      <c r="E154" s="76">
        <v>5.0229999999999997</v>
      </c>
      <c r="F154" s="76">
        <v>1.2999999999999999E-2</v>
      </c>
      <c r="G154" s="5">
        <f t="shared" si="39"/>
        <v>5.0359999999999996</v>
      </c>
      <c r="H154" s="5">
        <v>9882.83</v>
      </c>
      <c r="I154" s="5"/>
      <c r="J154" s="5">
        <f t="shared" si="40"/>
        <v>9882.83</v>
      </c>
      <c r="K154" s="5">
        <f t="shared" si="37"/>
        <v>1962.4364575059572</v>
      </c>
      <c r="L154" s="5">
        <f t="shared" si="38"/>
        <v>0.57856449662517928</v>
      </c>
      <c r="M154" s="5">
        <f t="shared" si="41"/>
        <v>0</v>
      </c>
      <c r="N154" s="5">
        <f t="shared" si="42"/>
        <v>4392.5</v>
      </c>
    </row>
    <row r="155" spans="1:14" ht="31.5" x14ac:dyDescent="0.25">
      <c r="A155" s="33" t="s">
        <v>756</v>
      </c>
      <c r="B155" s="34" t="s">
        <v>984</v>
      </c>
      <c r="C155" s="18" t="s">
        <v>52</v>
      </c>
      <c r="D155" s="32" t="s">
        <v>2886</v>
      </c>
      <c r="E155" s="76">
        <v>2.8380000000000001</v>
      </c>
      <c r="F155" s="76">
        <v>8.9999999999999993E-3</v>
      </c>
      <c r="G155" s="5">
        <f t="shared" si="39"/>
        <v>2.847</v>
      </c>
      <c r="H155" s="5">
        <v>5203.5690000000004</v>
      </c>
      <c r="I155" s="5"/>
      <c r="J155" s="5">
        <f t="shared" si="40"/>
        <v>5203.5690000000004</v>
      </c>
      <c r="K155" s="5">
        <f t="shared" si="37"/>
        <v>1827.7376185458379</v>
      </c>
      <c r="L155" s="5">
        <f t="shared" si="38"/>
        <v>0.53885265491897671</v>
      </c>
      <c r="M155" s="5">
        <f t="shared" si="41"/>
        <v>0</v>
      </c>
      <c r="N155" s="5">
        <f t="shared" si="42"/>
        <v>2790</v>
      </c>
    </row>
    <row r="156" spans="1:14" s="13" customFormat="1" ht="31.5" x14ac:dyDescent="0.25">
      <c r="A156" s="33" t="s">
        <v>756</v>
      </c>
      <c r="B156" s="34" t="s">
        <v>983</v>
      </c>
      <c r="C156" s="18" t="s">
        <v>53</v>
      </c>
      <c r="D156" s="32" t="s">
        <v>2887</v>
      </c>
      <c r="E156" s="76">
        <v>18.637</v>
      </c>
      <c r="F156" s="76">
        <v>0.104</v>
      </c>
      <c r="G156" s="5">
        <f t="shared" si="39"/>
        <v>18.741</v>
      </c>
      <c r="H156" s="5">
        <v>47075.47</v>
      </c>
      <c r="I156" s="5"/>
      <c r="J156" s="5">
        <f t="shared" si="40"/>
        <v>47075.47</v>
      </c>
      <c r="K156" s="5">
        <f t="shared" si="37"/>
        <v>2511.8974441065047</v>
      </c>
      <c r="L156" s="5">
        <f t="shared" si="38"/>
        <v>0.74055629916829679</v>
      </c>
      <c r="M156" s="5">
        <f t="shared" si="41"/>
        <v>0</v>
      </c>
      <c r="N156" s="5">
        <f t="shared" si="42"/>
        <v>8108.4</v>
      </c>
    </row>
    <row r="157" spans="1:14" s="13" customFormat="1" ht="15.75" x14ac:dyDescent="0.25">
      <c r="A157" s="33" t="s">
        <v>756</v>
      </c>
      <c r="B157" s="34" t="s">
        <v>984</v>
      </c>
      <c r="C157" s="18" t="s">
        <v>54</v>
      </c>
      <c r="D157" s="32" t="s">
        <v>2888</v>
      </c>
      <c r="E157" s="76">
        <v>6.1740000000000004</v>
      </c>
      <c r="F157" s="76">
        <v>2.1999999999999999E-2</v>
      </c>
      <c r="G157" s="5">
        <f t="shared" si="39"/>
        <v>6.1960000000000006</v>
      </c>
      <c r="H157" s="5">
        <v>6739.04</v>
      </c>
      <c r="I157" s="5"/>
      <c r="J157" s="5">
        <f t="shared" si="40"/>
        <v>6739.04</v>
      </c>
      <c r="K157" s="5">
        <f t="shared" si="37"/>
        <v>1087.6436410587476</v>
      </c>
      <c r="L157" s="5">
        <f t="shared" si="38"/>
        <v>0.32065853306479414</v>
      </c>
      <c r="M157" s="5">
        <f t="shared" si="41"/>
        <v>0</v>
      </c>
      <c r="N157" s="5">
        <f t="shared" si="42"/>
        <v>9740.5</v>
      </c>
    </row>
    <row r="158" spans="1:14" s="13" customFormat="1" ht="15.75" x14ac:dyDescent="0.25">
      <c r="A158" s="33" t="s">
        <v>756</v>
      </c>
      <c r="B158" s="34" t="s">
        <v>984</v>
      </c>
      <c r="C158" s="18" t="s">
        <v>55</v>
      </c>
      <c r="D158" s="32" t="s">
        <v>2889</v>
      </c>
      <c r="E158" s="76">
        <v>2.0699999999999998</v>
      </c>
      <c r="F158" s="76">
        <v>1.0999999999999999E-2</v>
      </c>
      <c r="G158" s="5">
        <f t="shared" si="39"/>
        <v>2.081</v>
      </c>
      <c r="H158" s="5">
        <v>3078.922</v>
      </c>
      <c r="I158" s="5"/>
      <c r="J158" s="5">
        <f t="shared" si="40"/>
        <v>3078.922</v>
      </c>
      <c r="K158" s="5">
        <f t="shared" si="37"/>
        <v>1479.5396444017299</v>
      </c>
      <c r="L158" s="5">
        <f t="shared" si="38"/>
        <v>0.43619710912228865</v>
      </c>
      <c r="M158" s="5">
        <f t="shared" si="41"/>
        <v>0</v>
      </c>
      <c r="N158" s="5">
        <f t="shared" si="42"/>
        <v>2619</v>
      </c>
    </row>
    <row r="159" spans="1:14" s="13" customFormat="1" ht="31.5" x14ac:dyDescent="0.25">
      <c r="A159" s="33" t="s">
        <v>756</v>
      </c>
      <c r="B159" s="34" t="s">
        <v>984</v>
      </c>
      <c r="C159" s="18" t="s">
        <v>56</v>
      </c>
      <c r="D159" s="32" t="s">
        <v>2890</v>
      </c>
      <c r="E159" s="76">
        <v>5.9710000000000001</v>
      </c>
      <c r="F159" s="76">
        <v>3.2000000000000001E-2</v>
      </c>
      <c r="G159" s="5">
        <f t="shared" si="39"/>
        <v>6.0030000000000001</v>
      </c>
      <c r="H159" s="5">
        <v>16403.885999999999</v>
      </c>
      <c r="I159" s="5"/>
      <c r="J159" s="5">
        <f t="shared" si="40"/>
        <v>16403.885999999999</v>
      </c>
      <c r="K159" s="5">
        <f t="shared" si="37"/>
        <v>2732.614692653673</v>
      </c>
      <c r="L159" s="5">
        <f t="shared" si="38"/>
        <v>0.8056280436896347</v>
      </c>
      <c r="M159" s="5">
        <f t="shared" si="41"/>
        <v>0</v>
      </c>
      <c r="N159" s="5">
        <f t="shared" si="42"/>
        <v>1537.3</v>
      </c>
    </row>
    <row r="160" spans="1:14" s="13" customFormat="1" ht="31.5" x14ac:dyDescent="0.25">
      <c r="A160" s="33" t="s">
        <v>756</v>
      </c>
      <c r="B160" s="34" t="s">
        <v>984</v>
      </c>
      <c r="C160" s="18" t="s">
        <v>57</v>
      </c>
      <c r="D160" s="32" t="s">
        <v>2891</v>
      </c>
      <c r="E160" s="76">
        <v>4.6349999999999998</v>
      </c>
      <c r="F160" s="76">
        <v>1.2999999999999999E-2</v>
      </c>
      <c r="G160" s="5">
        <f t="shared" si="39"/>
        <v>4.6479999999999997</v>
      </c>
      <c r="H160" s="5">
        <v>3739.0889999999999</v>
      </c>
      <c r="I160" s="5"/>
      <c r="J160" s="5">
        <f t="shared" si="40"/>
        <v>3739.0889999999999</v>
      </c>
      <c r="K160" s="5">
        <f t="shared" si="37"/>
        <v>804.4511617900173</v>
      </c>
      <c r="L160" s="5">
        <f t="shared" si="38"/>
        <v>0.23716787348727145</v>
      </c>
      <c r="M160" s="5">
        <f t="shared" si="41"/>
        <v>0</v>
      </c>
      <c r="N160" s="5">
        <f t="shared" si="42"/>
        <v>8359.9</v>
      </c>
    </row>
    <row r="161" spans="1:14" s="13" customFormat="1" ht="31.5" x14ac:dyDescent="0.25">
      <c r="A161" s="33" t="s">
        <v>756</v>
      </c>
      <c r="B161" s="34" t="s">
        <v>984</v>
      </c>
      <c r="C161" s="18" t="s">
        <v>58</v>
      </c>
      <c r="D161" s="32" t="s">
        <v>2503</v>
      </c>
      <c r="E161" s="76">
        <v>10.653</v>
      </c>
      <c r="F161" s="76">
        <v>0.20100000000000001</v>
      </c>
      <c r="G161" s="5">
        <f t="shared" si="39"/>
        <v>10.854000000000001</v>
      </c>
      <c r="H161" s="5">
        <v>36881.822</v>
      </c>
      <c r="I161" s="5">
        <f>(478.8)*0.6</f>
        <v>287.27999999999997</v>
      </c>
      <c r="J161" s="5">
        <f t="shared" si="40"/>
        <v>37169.101999999999</v>
      </c>
      <c r="K161" s="5">
        <f t="shared" si="37"/>
        <v>3424.4612124562368</v>
      </c>
      <c r="L161" s="5">
        <f t="shared" si="38"/>
        <v>1.0095978751409735</v>
      </c>
      <c r="M161" s="5">
        <f t="shared" si="41"/>
        <v>0</v>
      </c>
      <c r="N161" s="5">
        <f t="shared" si="42"/>
        <v>0</v>
      </c>
    </row>
    <row r="162" spans="1:14" s="13" customFormat="1" ht="31.5" x14ac:dyDescent="0.25">
      <c r="A162" s="33" t="s">
        <v>756</v>
      </c>
      <c r="B162" s="34" t="s">
        <v>985</v>
      </c>
      <c r="C162" s="18" t="s">
        <v>59</v>
      </c>
      <c r="D162" s="32" t="s">
        <v>2457</v>
      </c>
      <c r="E162" s="76">
        <v>7.8259999999999996</v>
      </c>
      <c r="F162" s="76">
        <v>6.0000000000000001E-3</v>
      </c>
      <c r="G162" s="5">
        <f t="shared" si="39"/>
        <v>7.8319999999999999</v>
      </c>
      <c r="H162" s="5">
        <v>14138.611999999999</v>
      </c>
      <c r="I162" s="5"/>
      <c r="J162" s="5">
        <f t="shared" si="40"/>
        <v>14138.611999999999</v>
      </c>
      <c r="K162" s="5">
        <f t="shared" si="37"/>
        <v>1805.2364657814096</v>
      </c>
      <c r="L162" s="5">
        <f t="shared" si="38"/>
        <v>0.5322188767536532</v>
      </c>
      <c r="M162" s="5">
        <f t="shared" si="41"/>
        <v>0</v>
      </c>
      <c r="N162" s="5">
        <f t="shared" si="42"/>
        <v>7816.2</v>
      </c>
    </row>
    <row r="163" spans="1:14" s="13" customFormat="1" ht="31.5" x14ac:dyDescent="0.25">
      <c r="A163" s="33" t="s">
        <v>756</v>
      </c>
      <c r="B163" s="34" t="s">
        <v>985</v>
      </c>
      <c r="C163" s="18" t="s">
        <v>60</v>
      </c>
      <c r="D163" s="32" t="s">
        <v>2892</v>
      </c>
      <c r="E163" s="76">
        <v>24.1</v>
      </c>
      <c r="F163" s="76">
        <v>0.182</v>
      </c>
      <c r="G163" s="5">
        <f t="shared" si="39"/>
        <v>24.282</v>
      </c>
      <c r="H163" s="5">
        <v>65615.657000000007</v>
      </c>
      <c r="I163" s="5"/>
      <c r="J163" s="5">
        <f t="shared" si="40"/>
        <v>65615.657000000007</v>
      </c>
      <c r="K163" s="5">
        <f t="shared" si="37"/>
        <v>2702.2344535046541</v>
      </c>
      <c r="L163" s="5">
        <f t="shared" si="38"/>
        <v>0.79667135737075989</v>
      </c>
      <c r="M163" s="5">
        <f t="shared" si="41"/>
        <v>0</v>
      </c>
      <c r="N163" s="5">
        <f t="shared" si="42"/>
        <v>6808.3</v>
      </c>
    </row>
    <row r="164" spans="1:14" s="13" customFormat="1" ht="31.5" x14ac:dyDescent="0.25">
      <c r="A164" s="33" t="s">
        <v>756</v>
      </c>
      <c r="B164" s="34" t="s">
        <v>984</v>
      </c>
      <c r="C164" s="18" t="s">
        <v>61</v>
      </c>
      <c r="D164" s="32" t="s">
        <v>2893</v>
      </c>
      <c r="E164" s="76">
        <v>5.7859999999999996</v>
      </c>
      <c r="F164" s="76">
        <v>8.2000000000000003E-2</v>
      </c>
      <c r="G164" s="5">
        <f t="shared" si="39"/>
        <v>5.8679999999999994</v>
      </c>
      <c r="H164" s="5">
        <v>9091.6820000000007</v>
      </c>
      <c r="I164" s="5"/>
      <c r="J164" s="5">
        <f t="shared" si="40"/>
        <v>9091.6820000000007</v>
      </c>
      <c r="K164" s="5">
        <f t="shared" si="37"/>
        <v>1549.3663940013637</v>
      </c>
      <c r="L164" s="5">
        <f t="shared" si="38"/>
        <v>0.45678339515390243</v>
      </c>
      <c r="M164" s="5">
        <f t="shared" si="41"/>
        <v>0</v>
      </c>
      <c r="N164" s="5">
        <f t="shared" si="42"/>
        <v>7057.3</v>
      </c>
    </row>
    <row r="165" spans="1:14" s="13" customFormat="1" ht="31.5" x14ac:dyDescent="0.25">
      <c r="A165" s="33" t="s">
        <v>756</v>
      </c>
      <c r="B165" s="34" t="s">
        <v>985</v>
      </c>
      <c r="C165" s="18" t="s">
        <v>62</v>
      </c>
      <c r="D165" s="32" t="s">
        <v>2461</v>
      </c>
      <c r="E165" s="76">
        <v>23.622</v>
      </c>
      <c r="F165" s="76">
        <v>0.64300000000000002</v>
      </c>
      <c r="G165" s="5">
        <f t="shared" si="39"/>
        <v>24.265000000000001</v>
      </c>
      <c r="H165" s="5">
        <v>263086.82</v>
      </c>
      <c r="I165" s="5">
        <f>(203.1-209.4-53.7-85.2)*0.6</f>
        <v>-87.12</v>
      </c>
      <c r="J165" s="5">
        <f t="shared" si="40"/>
        <v>262999.7</v>
      </c>
      <c r="K165" s="5">
        <f t="shared" si="37"/>
        <v>10838.644137646817</v>
      </c>
      <c r="L165" s="5">
        <f t="shared" si="38"/>
        <v>3.1954434323782661</v>
      </c>
      <c r="M165" s="5">
        <f t="shared" si="41"/>
        <v>86232.3</v>
      </c>
      <c r="N165" s="5">
        <f t="shared" si="42"/>
        <v>0</v>
      </c>
    </row>
    <row r="166" spans="1:14" s="13" customFormat="1" ht="15.75" x14ac:dyDescent="0.25">
      <c r="A166" s="33" t="s">
        <v>756</v>
      </c>
      <c r="B166" s="34" t="s">
        <v>984</v>
      </c>
      <c r="C166" s="18" t="s">
        <v>282</v>
      </c>
      <c r="D166" s="32" t="s">
        <v>2894</v>
      </c>
      <c r="E166" s="76">
        <v>7.1219999999999999</v>
      </c>
      <c r="F166" s="76">
        <v>1.0999999999999999E-2</v>
      </c>
      <c r="G166" s="5">
        <f t="shared" si="39"/>
        <v>7.133</v>
      </c>
      <c r="H166" s="5">
        <v>17647.652999999998</v>
      </c>
      <c r="I166" s="5"/>
      <c r="J166" s="5">
        <f t="shared" si="40"/>
        <v>17647.652999999998</v>
      </c>
      <c r="K166" s="5">
        <f t="shared" si="37"/>
        <v>2474.0856582083275</v>
      </c>
      <c r="L166" s="5">
        <f t="shared" si="38"/>
        <v>0.7294086480986256</v>
      </c>
      <c r="M166" s="5">
        <f t="shared" si="41"/>
        <v>0</v>
      </c>
      <c r="N166" s="5">
        <f t="shared" si="42"/>
        <v>3301.9</v>
      </c>
    </row>
    <row r="167" spans="1:14" s="13" customFormat="1" ht="31.5" x14ac:dyDescent="0.25">
      <c r="A167" s="33" t="s">
        <v>756</v>
      </c>
      <c r="B167" s="34" t="s">
        <v>985</v>
      </c>
      <c r="C167" s="18" t="s">
        <v>326</v>
      </c>
      <c r="D167" s="32" t="s">
        <v>2895</v>
      </c>
      <c r="E167" s="76">
        <v>10.624000000000001</v>
      </c>
      <c r="F167" s="76">
        <v>2.7E-2</v>
      </c>
      <c r="G167" s="5">
        <f t="shared" si="39"/>
        <v>10.651</v>
      </c>
      <c r="H167" s="5">
        <v>27115.112999999998</v>
      </c>
      <c r="I167" s="5"/>
      <c r="J167" s="5">
        <f t="shared" si="40"/>
        <v>27115.112999999998</v>
      </c>
      <c r="K167" s="5">
        <f t="shared" si="37"/>
        <v>2545.780959534316</v>
      </c>
      <c r="L167" s="5">
        <f t="shared" si="38"/>
        <v>0.75054581957921362</v>
      </c>
      <c r="M167" s="5">
        <f t="shared" si="41"/>
        <v>0</v>
      </c>
      <c r="N167" s="5">
        <f t="shared" si="42"/>
        <v>4319.5</v>
      </c>
    </row>
    <row r="168" spans="1:14" s="13" customFormat="1" ht="31.5" x14ac:dyDescent="0.25">
      <c r="A168" s="33" t="s">
        <v>756</v>
      </c>
      <c r="B168" s="34" t="s">
        <v>985</v>
      </c>
      <c r="C168" s="18" t="s">
        <v>327</v>
      </c>
      <c r="D168" s="32" t="s">
        <v>2896</v>
      </c>
      <c r="E168" s="76">
        <v>21.998999999999999</v>
      </c>
      <c r="F168" s="76">
        <v>0.82</v>
      </c>
      <c r="G168" s="5">
        <f t="shared" si="39"/>
        <v>22.818999999999999</v>
      </c>
      <c r="H168" s="5">
        <v>43776.955000000002</v>
      </c>
      <c r="I168" s="5">
        <f>(-747.7)*0.6</f>
        <v>-448.62</v>
      </c>
      <c r="J168" s="5">
        <f t="shared" si="40"/>
        <v>43328.334999999999</v>
      </c>
      <c r="K168" s="5">
        <f t="shared" si="37"/>
        <v>1898.7832507997721</v>
      </c>
      <c r="L168" s="5">
        <f t="shared" si="38"/>
        <v>0.55979829130134107</v>
      </c>
      <c r="M168" s="5">
        <f t="shared" si="41"/>
        <v>0</v>
      </c>
      <c r="N168" s="5">
        <f t="shared" si="42"/>
        <v>21065.3</v>
      </c>
    </row>
    <row r="169" spans="1:14" s="13" customFormat="1" ht="31.5" x14ac:dyDescent="0.25">
      <c r="A169" s="33" t="s">
        <v>756</v>
      </c>
      <c r="B169" s="34" t="s">
        <v>985</v>
      </c>
      <c r="C169" s="18" t="s">
        <v>328</v>
      </c>
      <c r="D169" s="32" t="s">
        <v>2897</v>
      </c>
      <c r="E169" s="76">
        <v>4.4400000000000004</v>
      </c>
      <c r="F169" s="76">
        <v>1.7000000000000001E-2</v>
      </c>
      <c r="G169" s="5">
        <f t="shared" si="39"/>
        <v>4.4570000000000007</v>
      </c>
      <c r="H169" s="5">
        <v>8363.8169999999991</v>
      </c>
      <c r="I169" s="5"/>
      <c r="J169" s="5">
        <f t="shared" si="40"/>
        <v>8363.8169999999991</v>
      </c>
      <c r="K169" s="5">
        <f t="shared" si="37"/>
        <v>1876.5575499214713</v>
      </c>
      <c r="L169" s="5">
        <f t="shared" si="38"/>
        <v>0.55324572171794761</v>
      </c>
      <c r="M169" s="5">
        <f t="shared" si="41"/>
        <v>0</v>
      </c>
      <c r="N169" s="5">
        <f t="shared" si="42"/>
        <v>4193.7</v>
      </c>
    </row>
    <row r="170" spans="1:14" s="13" customFormat="1" ht="31.5" x14ac:dyDescent="0.25">
      <c r="A170" s="33" t="s">
        <v>756</v>
      </c>
      <c r="B170" s="34" t="s">
        <v>985</v>
      </c>
      <c r="C170" s="18" t="s">
        <v>329</v>
      </c>
      <c r="D170" s="32" t="s">
        <v>2898</v>
      </c>
      <c r="E170" s="76">
        <v>19.105</v>
      </c>
      <c r="F170" s="76">
        <v>0.121</v>
      </c>
      <c r="G170" s="5">
        <f t="shared" si="39"/>
        <v>19.225999999999999</v>
      </c>
      <c r="H170" s="5">
        <v>50581.637000000002</v>
      </c>
      <c r="I170" s="5"/>
      <c r="J170" s="5">
        <f t="shared" si="40"/>
        <v>50581.637000000002</v>
      </c>
      <c r="K170" s="5">
        <f t="shared" si="37"/>
        <v>2630.8975866014775</v>
      </c>
      <c r="L170" s="5">
        <f t="shared" si="38"/>
        <v>0.77563985934044544</v>
      </c>
      <c r="M170" s="5">
        <f t="shared" si="41"/>
        <v>0</v>
      </c>
      <c r="N170" s="5">
        <f t="shared" si="42"/>
        <v>6487.9</v>
      </c>
    </row>
    <row r="171" spans="1:14" s="13" customFormat="1" ht="15.75" x14ac:dyDescent="0.25">
      <c r="A171" s="33" t="s">
        <v>756</v>
      </c>
      <c r="B171" s="34" t="s">
        <v>985</v>
      </c>
      <c r="C171" s="18" t="s">
        <v>330</v>
      </c>
      <c r="D171" s="32" t="s">
        <v>2899</v>
      </c>
      <c r="E171" s="76">
        <v>4.8460000000000001</v>
      </c>
      <c r="F171" s="76">
        <v>6.0000000000000001E-3</v>
      </c>
      <c r="G171" s="5">
        <f t="shared" si="39"/>
        <v>4.8520000000000003</v>
      </c>
      <c r="H171" s="5">
        <v>9421.6729999999989</v>
      </c>
      <c r="I171" s="5"/>
      <c r="J171" s="5">
        <f t="shared" si="40"/>
        <v>9421.6729999999989</v>
      </c>
      <c r="K171" s="5">
        <f t="shared" si="37"/>
        <v>1941.8122423742782</v>
      </c>
      <c r="L171" s="5">
        <f t="shared" si="38"/>
        <v>0.5724840762373955</v>
      </c>
      <c r="M171" s="5">
        <f t="shared" si="41"/>
        <v>0</v>
      </c>
      <c r="N171" s="5">
        <f t="shared" si="42"/>
        <v>4312.1000000000004</v>
      </c>
    </row>
    <row r="172" spans="1:14" s="13" customFormat="1" ht="31.5" x14ac:dyDescent="0.25">
      <c r="A172" s="33" t="s">
        <v>756</v>
      </c>
      <c r="B172" s="34" t="s">
        <v>985</v>
      </c>
      <c r="C172" s="18" t="s">
        <v>331</v>
      </c>
      <c r="D172" s="32" t="s">
        <v>2900</v>
      </c>
      <c r="E172" s="76">
        <v>20.038</v>
      </c>
      <c r="F172" s="76">
        <v>1.7210000000000001</v>
      </c>
      <c r="G172" s="5">
        <f t="shared" si="39"/>
        <v>21.759</v>
      </c>
      <c r="H172" s="5">
        <v>51391.120999999999</v>
      </c>
      <c r="I172" s="5"/>
      <c r="J172" s="5">
        <f t="shared" si="40"/>
        <v>51391.120999999999</v>
      </c>
      <c r="K172" s="5">
        <f t="shared" si="37"/>
        <v>2361.8328507743922</v>
      </c>
      <c r="L172" s="5">
        <f t="shared" si="38"/>
        <v>0.69631433374293106</v>
      </c>
      <c r="M172" s="5">
        <f t="shared" si="41"/>
        <v>0</v>
      </c>
      <c r="N172" s="5">
        <f t="shared" si="42"/>
        <v>12026.3</v>
      </c>
    </row>
    <row r="173" spans="1:14" s="13" customFormat="1" ht="31.5" x14ac:dyDescent="0.25">
      <c r="A173" s="33" t="s">
        <v>756</v>
      </c>
      <c r="B173" s="34" t="s">
        <v>985</v>
      </c>
      <c r="C173" s="18" t="s">
        <v>332</v>
      </c>
      <c r="D173" s="32" t="s">
        <v>2901</v>
      </c>
      <c r="E173" s="76">
        <v>3.0619999999999998</v>
      </c>
      <c r="F173" s="76">
        <v>1.9E-2</v>
      </c>
      <c r="G173" s="5">
        <f t="shared" si="39"/>
        <v>3.081</v>
      </c>
      <c r="H173" s="5">
        <v>7234.067</v>
      </c>
      <c r="I173" s="5"/>
      <c r="J173" s="5">
        <f t="shared" si="40"/>
        <v>7234.067</v>
      </c>
      <c r="K173" s="5">
        <f t="shared" si="37"/>
        <v>2347.9607270366764</v>
      </c>
      <c r="L173" s="5">
        <f t="shared" si="38"/>
        <v>0.69222456143120281</v>
      </c>
      <c r="M173" s="5">
        <f t="shared" si="41"/>
        <v>0</v>
      </c>
      <c r="N173" s="5">
        <f t="shared" si="42"/>
        <v>1737.1</v>
      </c>
    </row>
    <row r="174" spans="1:14" s="13" customFormat="1" ht="15.75" x14ac:dyDescent="0.25">
      <c r="A174" s="33" t="s">
        <v>756</v>
      </c>
      <c r="B174" s="34" t="s">
        <v>985</v>
      </c>
      <c r="C174" s="18" t="s">
        <v>333</v>
      </c>
      <c r="D174" s="32" t="s">
        <v>2825</v>
      </c>
      <c r="E174" s="76">
        <v>12.074</v>
      </c>
      <c r="F174" s="76">
        <v>5.8999999999999997E-2</v>
      </c>
      <c r="G174" s="5">
        <f t="shared" si="39"/>
        <v>12.132999999999999</v>
      </c>
      <c r="H174" s="5">
        <v>32785.530999999995</v>
      </c>
      <c r="I174" s="5"/>
      <c r="J174" s="5">
        <f t="shared" si="40"/>
        <v>32785.530999999995</v>
      </c>
      <c r="K174" s="5">
        <f t="shared" si="37"/>
        <v>2702.1784389681034</v>
      </c>
      <c r="L174" s="5">
        <f t="shared" si="38"/>
        <v>0.79665484319420188</v>
      </c>
      <c r="M174" s="5">
        <f t="shared" si="41"/>
        <v>0</v>
      </c>
      <c r="N174" s="5">
        <f t="shared" si="42"/>
        <v>3402.5</v>
      </c>
    </row>
    <row r="175" spans="1:14" s="13" customFormat="1" ht="31.5" x14ac:dyDescent="0.25">
      <c r="A175" s="33" t="s">
        <v>756</v>
      </c>
      <c r="B175" s="34" t="s">
        <v>985</v>
      </c>
      <c r="C175" s="18" t="s">
        <v>334</v>
      </c>
      <c r="D175" s="32" t="s">
        <v>2902</v>
      </c>
      <c r="E175" s="76">
        <v>14.416</v>
      </c>
      <c r="F175" s="76">
        <v>4.1000000000000002E-2</v>
      </c>
      <c r="G175" s="5">
        <f t="shared" si="39"/>
        <v>14.457000000000001</v>
      </c>
      <c r="H175" s="5">
        <v>43572.039000000004</v>
      </c>
      <c r="I175" s="5"/>
      <c r="J175" s="5">
        <f t="shared" si="40"/>
        <v>43572.039000000004</v>
      </c>
      <c r="K175" s="5">
        <f t="shared" si="37"/>
        <v>3013.9059970948333</v>
      </c>
      <c r="L175" s="5">
        <f t="shared" si="38"/>
        <v>0.88855819989243545</v>
      </c>
      <c r="M175" s="5">
        <f t="shared" si="41"/>
        <v>0</v>
      </c>
      <c r="N175" s="5">
        <f t="shared" si="42"/>
        <v>448.9</v>
      </c>
    </row>
    <row r="176" spans="1:14" s="13" customFormat="1" ht="31.5" x14ac:dyDescent="0.25">
      <c r="A176" s="33" t="s">
        <v>756</v>
      </c>
      <c r="B176" s="34" t="s">
        <v>985</v>
      </c>
      <c r="C176" s="18" t="s">
        <v>335</v>
      </c>
      <c r="D176" s="32" t="s">
        <v>2903</v>
      </c>
      <c r="E176" s="76">
        <v>14.473000000000001</v>
      </c>
      <c r="F176" s="76">
        <v>3.7999999999999999E-2</v>
      </c>
      <c r="G176" s="5">
        <f t="shared" si="39"/>
        <v>14.511000000000001</v>
      </c>
      <c r="H176" s="5">
        <v>34435.178999999996</v>
      </c>
      <c r="I176" s="5"/>
      <c r="J176" s="5">
        <f t="shared" si="40"/>
        <v>34435.178999999996</v>
      </c>
      <c r="K176" s="5">
        <f t="shared" si="37"/>
        <v>2373.0396940252217</v>
      </c>
      <c r="L176" s="5">
        <f t="shared" si="38"/>
        <v>0.6996183294465238</v>
      </c>
      <c r="M176" s="5">
        <f t="shared" si="41"/>
        <v>0</v>
      </c>
      <c r="N176" s="5">
        <f t="shared" si="42"/>
        <v>7890.2</v>
      </c>
    </row>
    <row r="177" spans="1:14" s="13" customFormat="1" ht="31.5" x14ac:dyDescent="0.25">
      <c r="A177" s="33" t="s">
        <v>756</v>
      </c>
      <c r="B177" s="34" t="s">
        <v>984</v>
      </c>
      <c r="C177" s="18" t="s">
        <v>336</v>
      </c>
      <c r="D177" s="32" t="s">
        <v>2904</v>
      </c>
      <c r="E177" s="76">
        <v>3.7789999999999999</v>
      </c>
      <c r="F177" s="76">
        <v>0.33800000000000002</v>
      </c>
      <c r="G177" s="5">
        <f t="shared" si="39"/>
        <v>4.117</v>
      </c>
      <c r="H177" s="5">
        <v>7600.4070000000002</v>
      </c>
      <c r="I177" s="5"/>
      <c r="J177" s="5">
        <f t="shared" si="40"/>
        <v>7600.4070000000002</v>
      </c>
      <c r="K177" s="5">
        <f t="shared" si="37"/>
        <v>1846.1032305076512</v>
      </c>
      <c r="L177" s="5">
        <f t="shared" si="38"/>
        <v>0.54426719509389987</v>
      </c>
      <c r="M177" s="5">
        <f t="shared" si="41"/>
        <v>0</v>
      </c>
      <c r="N177" s="5">
        <f t="shared" si="42"/>
        <v>3974.1</v>
      </c>
    </row>
    <row r="178" spans="1:14" s="13" customFormat="1" ht="31.5" x14ac:dyDescent="0.25">
      <c r="A178" s="33" t="s">
        <v>756</v>
      </c>
      <c r="B178" s="34" t="s">
        <v>984</v>
      </c>
      <c r="C178" s="18" t="s">
        <v>337</v>
      </c>
      <c r="D178" s="32" t="s">
        <v>2905</v>
      </c>
      <c r="E178" s="76">
        <v>4.5119999999999996</v>
      </c>
      <c r="F178" s="76">
        <v>1.9E-2</v>
      </c>
      <c r="G178" s="5">
        <f t="shared" si="39"/>
        <v>4.5309999999999997</v>
      </c>
      <c r="H178" s="5">
        <v>7855.9380000000001</v>
      </c>
      <c r="I178" s="5"/>
      <c r="J178" s="5">
        <f t="shared" si="40"/>
        <v>7855.9380000000001</v>
      </c>
      <c r="K178" s="5">
        <f t="shared" si="37"/>
        <v>1733.8199073052308</v>
      </c>
      <c r="L178" s="5">
        <f t="shared" si="38"/>
        <v>0.51116388409519786</v>
      </c>
      <c r="M178" s="5">
        <f t="shared" si="41"/>
        <v>0</v>
      </c>
      <c r="N178" s="5">
        <f t="shared" si="42"/>
        <v>4780.7</v>
      </c>
    </row>
    <row r="179" spans="1:14" s="13" customFormat="1" ht="31.5" x14ac:dyDescent="0.25">
      <c r="A179" s="33" t="s">
        <v>756</v>
      </c>
      <c r="B179" s="34" t="s">
        <v>984</v>
      </c>
      <c r="C179" s="18" t="s">
        <v>338</v>
      </c>
      <c r="D179" s="32" t="s">
        <v>2906</v>
      </c>
      <c r="E179" s="76">
        <v>8.7219999999999995</v>
      </c>
      <c r="F179" s="76">
        <v>0.439</v>
      </c>
      <c r="G179" s="5">
        <f t="shared" si="39"/>
        <v>9.1609999999999996</v>
      </c>
      <c r="H179" s="5">
        <v>8830.3240000000005</v>
      </c>
      <c r="I179" s="5"/>
      <c r="J179" s="5">
        <f t="shared" si="40"/>
        <v>8830.3240000000005</v>
      </c>
      <c r="K179" s="5">
        <f t="shared" ref="K179:K208" si="43">J179/G179</f>
        <v>963.90394061783661</v>
      </c>
      <c r="L179" s="5">
        <f t="shared" si="38"/>
        <v>0.28417765888192709</v>
      </c>
      <c r="M179" s="5">
        <f t="shared" si="41"/>
        <v>0</v>
      </c>
      <c r="N179" s="5">
        <f t="shared" si="42"/>
        <v>15308.5</v>
      </c>
    </row>
    <row r="180" spans="1:14" s="13" customFormat="1" ht="31.5" x14ac:dyDescent="0.25">
      <c r="A180" s="33" t="s">
        <v>756</v>
      </c>
      <c r="B180" s="34" t="s">
        <v>984</v>
      </c>
      <c r="C180" s="18" t="s">
        <v>339</v>
      </c>
      <c r="D180" s="32" t="s">
        <v>2907</v>
      </c>
      <c r="E180" s="76">
        <v>2.5070000000000001</v>
      </c>
      <c r="F180" s="76">
        <v>5.0000000000000001E-3</v>
      </c>
      <c r="G180" s="5">
        <f t="shared" si="39"/>
        <v>2.512</v>
      </c>
      <c r="H180" s="5">
        <v>5566.3329999999996</v>
      </c>
      <c r="I180" s="5"/>
      <c r="J180" s="5">
        <f t="shared" si="40"/>
        <v>5566.3329999999996</v>
      </c>
      <c r="K180" s="5">
        <f t="shared" si="43"/>
        <v>2215.8968949044583</v>
      </c>
      <c r="L180" s="5">
        <f t="shared" si="38"/>
        <v>0.65328957106872532</v>
      </c>
      <c r="M180" s="5">
        <f t="shared" si="41"/>
        <v>0</v>
      </c>
      <c r="N180" s="5">
        <f t="shared" si="42"/>
        <v>1681.7</v>
      </c>
    </row>
    <row r="181" spans="1:14" s="13" customFormat="1" ht="31.5" x14ac:dyDescent="0.25">
      <c r="A181" s="33" t="s">
        <v>756</v>
      </c>
      <c r="B181" s="34" t="s">
        <v>984</v>
      </c>
      <c r="C181" s="18" t="s">
        <v>340</v>
      </c>
      <c r="D181" s="32" t="s">
        <v>2908</v>
      </c>
      <c r="E181" s="76">
        <v>3.9009999999999998</v>
      </c>
      <c r="F181" s="76">
        <v>0.42399999999999999</v>
      </c>
      <c r="G181" s="5">
        <f t="shared" si="39"/>
        <v>4.3250000000000002</v>
      </c>
      <c r="H181" s="5">
        <v>10399.877</v>
      </c>
      <c r="I181" s="5"/>
      <c r="J181" s="5">
        <f t="shared" ref="J181:J210" si="44">H181+I181</f>
        <v>10399.877</v>
      </c>
      <c r="K181" s="5">
        <f t="shared" si="43"/>
        <v>2404.5958381502892</v>
      </c>
      <c r="L181" s="5">
        <f t="shared" si="38"/>
        <v>0.70892169545938022</v>
      </c>
      <c r="M181" s="5">
        <f t="shared" si="41"/>
        <v>0</v>
      </c>
      <c r="N181" s="5">
        <f t="shared" si="42"/>
        <v>2242.5</v>
      </c>
    </row>
    <row r="182" spans="1:14" s="13" customFormat="1" ht="31.5" x14ac:dyDescent="0.25">
      <c r="A182" s="33" t="s">
        <v>756</v>
      </c>
      <c r="B182" s="34" t="s">
        <v>984</v>
      </c>
      <c r="C182" s="30" t="s">
        <v>2819</v>
      </c>
      <c r="D182" s="32" t="s">
        <v>1249</v>
      </c>
      <c r="E182" s="76">
        <v>8.67</v>
      </c>
      <c r="F182" s="76">
        <v>0.27500000000000002</v>
      </c>
      <c r="G182" s="5">
        <f t="shared" si="39"/>
        <v>8.9450000000000003</v>
      </c>
      <c r="H182" s="5">
        <v>16292.588000000002</v>
      </c>
      <c r="I182" s="5">
        <f>(747.7)*0.6</f>
        <v>448.62</v>
      </c>
      <c r="J182" s="5">
        <f t="shared" si="44"/>
        <v>16741.208000000002</v>
      </c>
      <c r="K182" s="5">
        <f t="shared" si="43"/>
        <v>1871.5716042481836</v>
      </c>
      <c r="L182" s="5">
        <f t="shared" ref="L182:L213" si="45">K182/$K$1659</f>
        <v>0.55177576780548698</v>
      </c>
      <c r="M182" s="5">
        <f t="shared" si="41"/>
        <v>0</v>
      </c>
      <c r="N182" s="5">
        <f t="shared" si="42"/>
        <v>8452.2999999999993</v>
      </c>
    </row>
    <row r="183" spans="1:14" s="13" customFormat="1" ht="31.5" x14ac:dyDescent="0.25">
      <c r="A183" s="33" t="s">
        <v>756</v>
      </c>
      <c r="B183" s="34" t="s">
        <v>983</v>
      </c>
      <c r="C183" s="30" t="s">
        <v>533</v>
      </c>
      <c r="D183" s="32" t="s">
        <v>2909</v>
      </c>
      <c r="E183" s="76">
        <v>37.576999999999998</v>
      </c>
      <c r="F183" s="76">
        <v>0.51600000000000001</v>
      </c>
      <c r="G183" s="5">
        <f t="shared" si="39"/>
        <v>38.092999999999996</v>
      </c>
      <c r="H183" s="5">
        <v>99005.531000000003</v>
      </c>
      <c r="I183" s="5"/>
      <c r="J183" s="5">
        <f t="shared" si="44"/>
        <v>99005.531000000003</v>
      </c>
      <c r="K183" s="5">
        <f t="shared" si="43"/>
        <v>2599.0478828131154</v>
      </c>
      <c r="L183" s="5">
        <f t="shared" si="45"/>
        <v>0.76624994622020426</v>
      </c>
      <c r="M183" s="5">
        <f t="shared" ref="M183:M214" si="46">ROUND(IF(L183&lt;110%,0,(K183-$K$1659*1.1)*0.5)*G183,1)</f>
        <v>0</v>
      </c>
      <c r="N183" s="5">
        <f t="shared" ref="N183:N214" si="47">ROUND(IF(L183&gt;90%,0,(-K183+$K$1659*0.9)*0.8)*G183,1)</f>
        <v>13825.2</v>
      </c>
    </row>
    <row r="184" spans="1:14" s="13" customFormat="1" ht="31.5" x14ac:dyDescent="0.25">
      <c r="A184" s="33" t="s">
        <v>756</v>
      </c>
      <c r="B184" s="34" t="s">
        <v>985</v>
      </c>
      <c r="C184" s="18" t="s">
        <v>534</v>
      </c>
      <c r="D184" s="32" t="s">
        <v>2910</v>
      </c>
      <c r="E184" s="76">
        <v>14.946</v>
      </c>
      <c r="F184" s="76">
        <v>1.45</v>
      </c>
      <c r="G184" s="5">
        <f t="shared" si="39"/>
        <v>16.396000000000001</v>
      </c>
      <c r="H184" s="5">
        <v>40783.233</v>
      </c>
      <c r="I184" s="5"/>
      <c r="J184" s="5">
        <f t="shared" si="44"/>
        <v>40783.233</v>
      </c>
      <c r="K184" s="5">
        <f t="shared" si="43"/>
        <v>2487.3891802878752</v>
      </c>
      <c r="L184" s="5">
        <f t="shared" si="45"/>
        <v>0.73333078556496556</v>
      </c>
      <c r="M184" s="5">
        <f t="shared" si="46"/>
        <v>0</v>
      </c>
      <c r="N184" s="5">
        <f t="shared" si="47"/>
        <v>7415.3</v>
      </c>
    </row>
    <row r="185" spans="1:14" s="13" customFormat="1" ht="31.5" x14ac:dyDescent="0.25">
      <c r="A185" s="33" t="s">
        <v>756</v>
      </c>
      <c r="B185" s="34" t="s">
        <v>984</v>
      </c>
      <c r="C185" s="18" t="s">
        <v>535</v>
      </c>
      <c r="D185" s="32" t="s">
        <v>2911</v>
      </c>
      <c r="E185" s="76">
        <v>12.327</v>
      </c>
      <c r="F185" s="76">
        <v>1.2999999999999999E-2</v>
      </c>
      <c r="G185" s="5">
        <f t="shared" si="39"/>
        <v>12.34</v>
      </c>
      <c r="H185" s="5">
        <v>66923.819000000003</v>
      </c>
      <c r="I185" s="5">
        <f>(-289.5-7200)*0.6</f>
        <v>-4493.7</v>
      </c>
      <c r="J185" s="5">
        <f t="shared" si="44"/>
        <v>62430.119000000006</v>
      </c>
      <c r="K185" s="5">
        <f t="shared" si="43"/>
        <v>5059.1668557536468</v>
      </c>
      <c r="L185" s="5">
        <f t="shared" si="45"/>
        <v>1.4915409434259423</v>
      </c>
      <c r="M185" s="5">
        <f t="shared" si="46"/>
        <v>8194.2000000000007</v>
      </c>
      <c r="N185" s="5">
        <f t="shared" si="47"/>
        <v>0</v>
      </c>
    </row>
    <row r="186" spans="1:14" s="13" customFormat="1" ht="31.5" x14ac:dyDescent="0.25">
      <c r="A186" s="33" t="s">
        <v>756</v>
      </c>
      <c r="B186" s="34" t="s">
        <v>985</v>
      </c>
      <c r="C186" s="18" t="s">
        <v>536</v>
      </c>
      <c r="D186" s="32" t="s">
        <v>2912</v>
      </c>
      <c r="E186" s="76">
        <v>12.510999999999999</v>
      </c>
      <c r="F186" s="76">
        <v>3.5999999999999997E-2</v>
      </c>
      <c r="G186" s="5">
        <f t="shared" si="39"/>
        <v>12.546999999999999</v>
      </c>
      <c r="H186" s="5">
        <v>25008.627</v>
      </c>
      <c r="I186" s="5">
        <f>(289.5-4646.251+7200)*0.6</f>
        <v>1705.9493999999997</v>
      </c>
      <c r="J186" s="5">
        <f t="shared" si="44"/>
        <v>26714.576400000002</v>
      </c>
      <c r="K186" s="5">
        <f t="shared" si="43"/>
        <v>2129.1604686379219</v>
      </c>
      <c r="L186" s="5">
        <f t="shared" si="45"/>
        <v>0.62771798294925973</v>
      </c>
      <c r="M186" s="5">
        <f t="shared" si="46"/>
        <v>0</v>
      </c>
      <c r="N186" s="5">
        <f t="shared" si="47"/>
        <v>9270.2999999999993</v>
      </c>
    </row>
    <row r="187" spans="1:14" s="13" customFormat="1" ht="31.5" x14ac:dyDescent="0.25">
      <c r="A187" s="33" t="s">
        <v>756</v>
      </c>
      <c r="B187" s="34" t="s">
        <v>984</v>
      </c>
      <c r="C187" s="18" t="s">
        <v>1253</v>
      </c>
      <c r="D187" s="32" t="s">
        <v>2913</v>
      </c>
      <c r="E187" s="76">
        <v>6.8049999999999997</v>
      </c>
      <c r="F187" s="76">
        <v>0.10100000000000001</v>
      </c>
      <c r="G187" s="5">
        <f t="shared" si="39"/>
        <v>6.9059999999999997</v>
      </c>
      <c r="H187" s="5">
        <v>12916.118</v>
      </c>
      <c r="I187" s="5"/>
      <c r="J187" s="5">
        <f>H187+I187</f>
        <v>12916.118</v>
      </c>
      <c r="K187" s="5">
        <f>J187/G187</f>
        <v>1870.2748334781352</v>
      </c>
      <c r="L187" s="5">
        <f t="shared" si="45"/>
        <v>0.55139345452092603</v>
      </c>
      <c r="M187" s="5">
        <f t="shared" si="46"/>
        <v>0</v>
      </c>
      <c r="N187" s="5">
        <f t="shared" si="47"/>
        <v>6532.7</v>
      </c>
    </row>
    <row r="188" spans="1:14" s="13" customFormat="1" ht="15.75" x14ac:dyDescent="0.25">
      <c r="A188" s="33" t="s">
        <v>756</v>
      </c>
      <c r="B188" s="34" t="s">
        <v>984</v>
      </c>
      <c r="C188" s="18" t="s">
        <v>537</v>
      </c>
      <c r="D188" s="32" t="s">
        <v>2914</v>
      </c>
      <c r="E188" s="76">
        <v>3.45</v>
      </c>
      <c r="F188" s="76">
        <v>4.8000000000000001E-2</v>
      </c>
      <c r="G188" s="5">
        <f t="shared" si="39"/>
        <v>3.4980000000000002</v>
      </c>
      <c r="H188" s="5">
        <v>72658.111999999994</v>
      </c>
      <c r="I188" s="5"/>
      <c r="J188" s="5">
        <f t="shared" si="44"/>
        <v>72658.111999999994</v>
      </c>
      <c r="K188" s="5">
        <f t="shared" si="43"/>
        <v>20771.329902801597</v>
      </c>
      <c r="L188" s="5">
        <f t="shared" si="45"/>
        <v>6.1237926881581384</v>
      </c>
      <c r="M188" s="5">
        <f t="shared" si="46"/>
        <v>29803.4</v>
      </c>
      <c r="N188" s="5">
        <f t="shared" si="47"/>
        <v>0</v>
      </c>
    </row>
    <row r="189" spans="1:14" s="13" customFormat="1" ht="31.5" x14ac:dyDescent="0.25">
      <c r="A189" s="33" t="s">
        <v>756</v>
      </c>
      <c r="B189" s="34" t="s">
        <v>985</v>
      </c>
      <c r="C189" s="18" t="s">
        <v>538</v>
      </c>
      <c r="D189" s="32" t="s">
        <v>2915</v>
      </c>
      <c r="E189" s="76">
        <v>23.027999999999999</v>
      </c>
      <c r="F189" s="76">
        <v>0.13400000000000001</v>
      </c>
      <c r="G189" s="5">
        <f t="shared" si="39"/>
        <v>23.161999999999999</v>
      </c>
      <c r="H189" s="5">
        <v>84157.583999999988</v>
      </c>
      <c r="I189" s="5">
        <f>(7776)*0.6</f>
        <v>4665.5999999999995</v>
      </c>
      <c r="J189" s="5">
        <f t="shared" si="44"/>
        <v>88823.183999999994</v>
      </c>
      <c r="K189" s="5">
        <f t="shared" si="43"/>
        <v>3834.8667645281062</v>
      </c>
      <c r="L189" s="5">
        <f t="shared" si="45"/>
        <v>1.1305934267362634</v>
      </c>
      <c r="M189" s="5">
        <f t="shared" si="46"/>
        <v>1201.8</v>
      </c>
      <c r="N189" s="5">
        <f t="shared" si="47"/>
        <v>0</v>
      </c>
    </row>
    <row r="190" spans="1:14" s="13" customFormat="1" ht="31.5" x14ac:dyDescent="0.25">
      <c r="A190" s="33" t="s">
        <v>756</v>
      </c>
      <c r="B190" s="34" t="s">
        <v>984</v>
      </c>
      <c r="C190" s="18" t="s">
        <v>539</v>
      </c>
      <c r="D190" s="32" t="s">
        <v>1299</v>
      </c>
      <c r="E190" s="76">
        <v>9.7639999999999993</v>
      </c>
      <c r="F190" s="76">
        <v>0.47299999999999998</v>
      </c>
      <c r="G190" s="5">
        <f t="shared" si="39"/>
        <v>10.237</v>
      </c>
      <c r="H190" s="5">
        <v>56611.581999999995</v>
      </c>
      <c r="I190" s="5"/>
      <c r="J190" s="5">
        <f t="shared" si="44"/>
        <v>56611.581999999995</v>
      </c>
      <c r="K190" s="5">
        <f t="shared" si="43"/>
        <v>5530.0949496922922</v>
      </c>
      <c r="L190" s="5">
        <f t="shared" si="45"/>
        <v>1.6303797193639604</v>
      </c>
      <c r="M190" s="5">
        <f t="shared" si="46"/>
        <v>9208.2000000000007</v>
      </c>
      <c r="N190" s="5">
        <f t="shared" si="47"/>
        <v>0</v>
      </c>
    </row>
    <row r="191" spans="1:14" s="13" customFormat="1" ht="15.75" x14ac:dyDescent="0.25">
      <c r="A191" s="33" t="s">
        <v>756</v>
      </c>
      <c r="B191" s="34" t="s">
        <v>984</v>
      </c>
      <c r="C191" s="18" t="s">
        <v>540</v>
      </c>
      <c r="D191" s="32" t="s">
        <v>2916</v>
      </c>
      <c r="E191" s="76">
        <v>3.41</v>
      </c>
      <c r="F191" s="76">
        <v>2.9000000000000001E-2</v>
      </c>
      <c r="G191" s="5">
        <f t="shared" si="39"/>
        <v>3.4390000000000001</v>
      </c>
      <c r="H191" s="5">
        <v>17224.815999999999</v>
      </c>
      <c r="I191" s="5"/>
      <c r="J191" s="5">
        <f t="shared" si="44"/>
        <v>17224.815999999999</v>
      </c>
      <c r="K191" s="5">
        <f t="shared" si="43"/>
        <v>5008.6699621983134</v>
      </c>
      <c r="L191" s="5">
        <f t="shared" si="45"/>
        <v>1.4766534755085827</v>
      </c>
      <c r="M191" s="5">
        <f t="shared" si="46"/>
        <v>2196.8000000000002</v>
      </c>
      <c r="N191" s="5">
        <f t="shared" si="47"/>
        <v>0</v>
      </c>
    </row>
    <row r="192" spans="1:14" s="13" customFormat="1" ht="15.75" x14ac:dyDescent="0.25">
      <c r="A192" s="33" t="s">
        <v>756</v>
      </c>
      <c r="B192" s="34" t="s">
        <v>984</v>
      </c>
      <c r="C192" s="18" t="s">
        <v>541</v>
      </c>
      <c r="D192" s="32" t="s">
        <v>2917</v>
      </c>
      <c r="E192" s="76">
        <v>10.500999999999999</v>
      </c>
      <c r="F192" s="76">
        <v>0.129</v>
      </c>
      <c r="G192" s="5">
        <f t="shared" si="39"/>
        <v>10.629999999999999</v>
      </c>
      <c r="H192" s="5">
        <v>30049.616999999998</v>
      </c>
      <c r="I192" s="5">
        <f>(351.4)*0.6</f>
        <v>210.83999999999997</v>
      </c>
      <c r="J192" s="5">
        <f t="shared" si="44"/>
        <v>30260.456999999999</v>
      </c>
      <c r="K192" s="5">
        <f t="shared" si="43"/>
        <v>2846.7033866415804</v>
      </c>
      <c r="L192" s="5">
        <f t="shared" si="45"/>
        <v>0.83926361316515607</v>
      </c>
      <c r="M192" s="5">
        <f t="shared" si="46"/>
        <v>0</v>
      </c>
      <c r="N192" s="5">
        <f t="shared" si="47"/>
        <v>1751.9</v>
      </c>
    </row>
    <row r="193" spans="1:14" s="13" customFormat="1" ht="31.5" x14ac:dyDescent="0.25">
      <c r="A193" s="33" t="s">
        <v>756</v>
      </c>
      <c r="B193" s="34" t="s">
        <v>985</v>
      </c>
      <c r="C193" s="18" t="s">
        <v>542</v>
      </c>
      <c r="D193" s="32" t="s">
        <v>2918</v>
      </c>
      <c r="E193" s="76">
        <v>12.994999999999999</v>
      </c>
      <c r="F193" s="76">
        <v>0.113</v>
      </c>
      <c r="G193" s="5">
        <f t="shared" si="39"/>
        <v>13.107999999999999</v>
      </c>
      <c r="H193" s="5">
        <v>22460.565000000002</v>
      </c>
      <c r="I193" s="5"/>
      <c r="J193" s="5">
        <f t="shared" si="44"/>
        <v>22460.565000000002</v>
      </c>
      <c r="K193" s="5">
        <f t="shared" si="43"/>
        <v>1713.5005340250232</v>
      </c>
      <c r="L193" s="5">
        <f t="shared" si="45"/>
        <v>0.50517333702365441</v>
      </c>
      <c r="M193" s="5">
        <f t="shared" si="46"/>
        <v>0</v>
      </c>
      <c r="N193" s="5">
        <f t="shared" si="47"/>
        <v>14043.5</v>
      </c>
    </row>
    <row r="194" spans="1:14" s="13" customFormat="1" ht="31.5" x14ac:dyDescent="0.25">
      <c r="A194" s="33" t="s">
        <v>756</v>
      </c>
      <c r="B194" s="34" t="s">
        <v>985</v>
      </c>
      <c r="C194" s="18" t="s">
        <v>543</v>
      </c>
      <c r="D194" s="32" t="s">
        <v>2919</v>
      </c>
      <c r="E194" s="76">
        <v>5.0439999999999996</v>
      </c>
      <c r="F194" s="76">
        <v>7.4999999999999997E-2</v>
      </c>
      <c r="G194" s="5">
        <f t="shared" si="39"/>
        <v>5.1189999999999998</v>
      </c>
      <c r="H194" s="5">
        <v>14052.884</v>
      </c>
      <c r="I194" s="5"/>
      <c r="J194" s="5">
        <f t="shared" si="44"/>
        <v>14052.884</v>
      </c>
      <c r="K194" s="5">
        <f t="shared" si="43"/>
        <v>2745.2400859542881</v>
      </c>
      <c r="L194" s="5">
        <f t="shared" si="45"/>
        <v>0.8093502555817581</v>
      </c>
      <c r="M194" s="5">
        <f t="shared" si="46"/>
        <v>0</v>
      </c>
      <c r="N194" s="5">
        <f t="shared" si="47"/>
        <v>1259.2</v>
      </c>
    </row>
    <row r="195" spans="1:14" s="13" customFormat="1" ht="31.5" x14ac:dyDescent="0.25">
      <c r="A195" s="33" t="s">
        <v>756</v>
      </c>
      <c r="B195" s="34" t="s">
        <v>984</v>
      </c>
      <c r="C195" s="18" t="s">
        <v>544</v>
      </c>
      <c r="D195" s="32" t="s">
        <v>2519</v>
      </c>
      <c r="E195" s="76">
        <v>3.2170000000000001</v>
      </c>
      <c r="F195" s="76">
        <v>1.2999999999999999E-2</v>
      </c>
      <c r="G195" s="5">
        <f t="shared" si="39"/>
        <v>3.23</v>
      </c>
      <c r="H195" s="5">
        <v>6375.357</v>
      </c>
      <c r="I195" s="5"/>
      <c r="J195" s="5">
        <f t="shared" si="44"/>
        <v>6375.357</v>
      </c>
      <c r="K195" s="5">
        <f t="shared" si="43"/>
        <v>1973.7947368421053</v>
      </c>
      <c r="L195" s="5">
        <f t="shared" si="45"/>
        <v>0.58191313863675209</v>
      </c>
      <c r="M195" s="5">
        <f t="shared" si="46"/>
        <v>0</v>
      </c>
      <c r="N195" s="5">
        <f t="shared" si="47"/>
        <v>2787.9</v>
      </c>
    </row>
    <row r="196" spans="1:14" s="12" customFormat="1" ht="15.75" x14ac:dyDescent="0.25">
      <c r="A196" s="33" t="s">
        <v>756</v>
      </c>
      <c r="B196" s="34" t="s">
        <v>984</v>
      </c>
      <c r="C196" s="18" t="s">
        <v>545</v>
      </c>
      <c r="D196" s="32" t="s">
        <v>2920</v>
      </c>
      <c r="E196" s="76">
        <v>5.3769999999999998</v>
      </c>
      <c r="F196" s="76">
        <v>4.0000000000000001E-3</v>
      </c>
      <c r="G196" s="5">
        <f t="shared" si="39"/>
        <v>5.3809999999999993</v>
      </c>
      <c r="H196" s="5">
        <v>44005.686000000002</v>
      </c>
      <c r="I196" s="5"/>
      <c r="J196" s="5">
        <f t="shared" si="44"/>
        <v>44005.686000000002</v>
      </c>
      <c r="K196" s="5">
        <f t="shared" si="43"/>
        <v>8177.9754692436363</v>
      </c>
      <c r="L196" s="5">
        <f t="shared" si="45"/>
        <v>2.4110264781715336</v>
      </c>
      <c r="M196" s="5">
        <f t="shared" si="46"/>
        <v>11964.3</v>
      </c>
      <c r="N196" s="5">
        <f t="shared" si="47"/>
        <v>0</v>
      </c>
    </row>
    <row r="197" spans="1:14" ht="31.5" x14ac:dyDescent="0.25">
      <c r="A197" s="33" t="s">
        <v>756</v>
      </c>
      <c r="B197" s="34" t="s">
        <v>985</v>
      </c>
      <c r="C197" s="18" t="s">
        <v>546</v>
      </c>
      <c r="D197" s="32" t="s">
        <v>2921</v>
      </c>
      <c r="E197" s="76">
        <v>12.742000000000001</v>
      </c>
      <c r="F197" s="76">
        <v>1.9E-2</v>
      </c>
      <c r="G197" s="5">
        <f t="shared" si="39"/>
        <v>12.761000000000001</v>
      </c>
      <c r="H197" s="5">
        <v>40366.360999999997</v>
      </c>
      <c r="I197" s="5"/>
      <c r="J197" s="5">
        <f t="shared" si="44"/>
        <v>40366.360999999997</v>
      </c>
      <c r="K197" s="5">
        <f t="shared" si="43"/>
        <v>3163.2600109709265</v>
      </c>
      <c r="L197" s="5">
        <f t="shared" si="45"/>
        <v>0.93259067265182904</v>
      </c>
      <c r="M197" s="5">
        <f t="shared" si="46"/>
        <v>0</v>
      </c>
      <c r="N197" s="5">
        <f t="shared" si="47"/>
        <v>0</v>
      </c>
    </row>
    <row r="198" spans="1:14" ht="15.75" x14ac:dyDescent="0.25">
      <c r="A198" s="33" t="s">
        <v>756</v>
      </c>
      <c r="B198" s="34" t="s">
        <v>985</v>
      </c>
      <c r="C198" s="18" t="s">
        <v>547</v>
      </c>
      <c r="D198" s="32" t="s">
        <v>2922</v>
      </c>
      <c r="E198" s="76">
        <v>11.026999999999999</v>
      </c>
      <c r="F198" s="76">
        <v>7.9000000000000001E-2</v>
      </c>
      <c r="G198" s="5">
        <f t="shared" si="39"/>
        <v>11.106</v>
      </c>
      <c r="H198" s="5">
        <v>40995.434999999998</v>
      </c>
      <c r="I198" s="5"/>
      <c r="J198" s="5">
        <f t="shared" si="44"/>
        <v>40995.434999999998</v>
      </c>
      <c r="K198" s="5">
        <f t="shared" si="43"/>
        <v>3691.2871420853589</v>
      </c>
      <c r="L198" s="5">
        <f t="shared" si="45"/>
        <v>1.0882633570585962</v>
      </c>
      <c r="M198" s="5">
        <f t="shared" si="46"/>
        <v>0</v>
      </c>
      <c r="N198" s="5">
        <f t="shared" si="47"/>
        <v>0</v>
      </c>
    </row>
    <row r="199" spans="1:14" ht="31.5" x14ac:dyDescent="0.25">
      <c r="A199" s="33" t="s">
        <v>756</v>
      </c>
      <c r="B199" s="34" t="s">
        <v>984</v>
      </c>
      <c r="C199" s="18" t="s">
        <v>548</v>
      </c>
      <c r="D199" s="32" t="s">
        <v>2923</v>
      </c>
      <c r="E199" s="76">
        <v>3.6150000000000002</v>
      </c>
      <c r="F199" s="76">
        <v>3.6999999999999998E-2</v>
      </c>
      <c r="G199" s="5">
        <f t="shared" si="39"/>
        <v>3.6520000000000001</v>
      </c>
      <c r="H199" s="5">
        <v>7872.4110000000001</v>
      </c>
      <c r="I199" s="5">
        <f>(92.5)*0.6</f>
        <v>55.5</v>
      </c>
      <c r="J199" s="5">
        <f t="shared" si="44"/>
        <v>7927.9110000000001</v>
      </c>
      <c r="K199" s="5">
        <f t="shared" si="43"/>
        <v>2170.840909090909</v>
      </c>
      <c r="L199" s="5">
        <f t="shared" si="45"/>
        <v>0.64000618874444026</v>
      </c>
      <c r="M199" s="5">
        <f t="shared" si="46"/>
        <v>0</v>
      </c>
      <c r="N199" s="5">
        <f t="shared" si="47"/>
        <v>2576.5</v>
      </c>
    </row>
    <row r="200" spans="1:14" ht="15.75" x14ac:dyDescent="0.25">
      <c r="A200" s="33" t="s">
        <v>756</v>
      </c>
      <c r="B200" s="34" t="s">
        <v>984</v>
      </c>
      <c r="C200" s="18" t="s">
        <v>677</v>
      </c>
      <c r="D200" s="32" t="s">
        <v>2924</v>
      </c>
      <c r="E200" s="76">
        <v>2.5339999999999998</v>
      </c>
      <c r="F200" s="76">
        <v>0.13500000000000001</v>
      </c>
      <c r="G200" s="5">
        <f t="shared" si="39"/>
        <v>2.6689999999999996</v>
      </c>
      <c r="H200" s="5">
        <v>6021.4709999999995</v>
      </c>
      <c r="I200" s="5"/>
      <c r="J200" s="5">
        <f t="shared" si="44"/>
        <v>6021.4709999999995</v>
      </c>
      <c r="K200" s="5">
        <f t="shared" si="43"/>
        <v>2256.0775571375048</v>
      </c>
      <c r="L200" s="5">
        <f t="shared" si="45"/>
        <v>0.66513561302846014</v>
      </c>
      <c r="M200" s="5">
        <f t="shared" si="46"/>
        <v>0</v>
      </c>
      <c r="N200" s="5">
        <f t="shared" si="47"/>
        <v>1701</v>
      </c>
    </row>
    <row r="201" spans="1:14" ht="31.5" x14ac:dyDescent="0.25">
      <c r="A201" s="33" t="s">
        <v>756</v>
      </c>
      <c r="B201" s="34" t="s">
        <v>984</v>
      </c>
      <c r="C201" s="18" t="s">
        <v>678</v>
      </c>
      <c r="D201" s="32" t="s">
        <v>2925</v>
      </c>
      <c r="E201" s="76">
        <v>6.9770000000000003</v>
      </c>
      <c r="F201" s="76">
        <v>0.04</v>
      </c>
      <c r="G201" s="5">
        <f t="shared" si="39"/>
        <v>7.0170000000000003</v>
      </c>
      <c r="H201" s="5">
        <v>16290.733</v>
      </c>
      <c r="I201" s="5"/>
      <c r="J201" s="5">
        <f t="shared" si="44"/>
        <v>16290.733</v>
      </c>
      <c r="K201" s="5">
        <f t="shared" si="43"/>
        <v>2321.609377226735</v>
      </c>
      <c r="L201" s="5">
        <f t="shared" si="45"/>
        <v>0.68445567017366948</v>
      </c>
      <c r="M201" s="5">
        <f t="shared" si="46"/>
        <v>0</v>
      </c>
      <c r="N201" s="5">
        <f t="shared" si="47"/>
        <v>4104.1000000000004</v>
      </c>
    </row>
    <row r="202" spans="1:14" ht="31.5" x14ac:dyDescent="0.25">
      <c r="A202" s="33" t="s">
        <v>756</v>
      </c>
      <c r="B202" s="34" t="s">
        <v>984</v>
      </c>
      <c r="C202" s="18" t="s">
        <v>679</v>
      </c>
      <c r="D202" s="32" t="s">
        <v>2926</v>
      </c>
      <c r="E202" s="76">
        <v>5.2549999999999999</v>
      </c>
      <c r="F202" s="76">
        <v>0.01</v>
      </c>
      <c r="G202" s="5">
        <f t="shared" si="39"/>
        <v>5.2649999999999997</v>
      </c>
      <c r="H202" s="5">
        <v>13221.146999999999</v>
      </c>
      <c r="I202" s="5"/>
      <c r="J202" s="5">
        <f t="shared" si="44"/>
        <v>13221.146999999999</v>
      </c>
      <c r="K202" s="5">
        <f t="shared" si="43"/>
        <v>2511.1390313390311</v>
      </c>
      <c r="L202" s="5">
        <f t="shared" si="45"/>
        <v>0.74033270431029818</v>
      </c>
      <c r="M202" s="5">
        <f t="shared" si="46"/>
        <v>0</v>
      </c>
      <c r="N202" s="5">
        <f t="shared" si="47"/>
        <v>2281.1</v>
      </c>
    </row>
    <row r="203" spans="1:14" ht="15.75" x14ac:dyDescent="0.25">
      <c r="A203" s="35" t="s">
        <v>756</v>
      </c>
      <c r="B203" s="34" t="s">
        <v>984</v>
      </c>
      <c r="C203" s="30" t="s">
        <v>733</v>
      </c>
      <c r="D203" s="32" t="s">
        <v>1268</v>
      </c>
      <c r="E203" s="76">
        <v>5.0860000000000003</v>
      </c>
      <c r="F203" s="76">
        <v>3.9E-2</v>
      </c>
      <c r="G203" s="5">
        <f t="shared" si="39"/>
        <v>5.125</v>
      </c>
      <c r="H203" s="5">
        <v>14036.767</v>
      </c>
      <c r="I203" s="5"/>
      <c r="J203" s="5">
        <f t="shared" si="44"/>
        <v>14036.767</v>
      </c>
      <c r="K203" s="5">
        <f t="shared" si="43"/>
        <v>2738.8813658536583</v>
      </c>
      <c r="L203" s="5">
        <f t="shared" si="45"/>
        <v>0.80747558102598838</v>
      </c>
      <c r="M203" s="5">
        <f t="shared" si="46"/>
        <v>0</v>
      </c>
      <c r="N203" s="5">
        <f t="shared" si="47"/>
        <v>1286.7</v>
      </c>
    </row>
    <row r="204" spans="1:14" ht="31.5" x14ac:dyDescent="0.25">
      <c r="A204" s="35" t="s">
        <v>756</v>
      </c>
      <c r="B204" s="34" t="s">
        <v>983</v>
      </c>
      <c r="C204" s="30" t="s">
        <v>734</v>
      </c>
      <c r="D204" s="32" t="s">
        <v>1269</v>
      </c>
      <c r="E204" s="76">
        <v>20.638999999999999</v>
      </c>
      <c r="F204" s="76">
        <v>0.126</v>
      </c>
      <c r="G204" s="5">
        <f t="shared" si="39"/>
        <v>20.765000000000001</v>
      </c>
      <c r="H204" s="5">
        <v>48809.737000000001</v>
      </c>
      <c r="I204" s="5"/>
      <c r="J204" s="5">
        <f t="shared" si="44"/>
        <v>48809.737000000001</v>
      </c>
      <c r="K204" s="5">
        <f t="shared" si="43"/>
        <v>2350.5772694437755</v>
      </c>
      <c r="L204" s="5">
        <f t="shared" si="45"/>
        <v>0.69299596910398209</v>
      </c>
      <c r="M204" s="5">
        <f t="shared" si="46"/>
        <v>0</v>
      </c>
      <c r="N204" s="5">
        <f t="shared" si="47"/>
        <v>11663.9</v>
      </c>
    </row>
    <row r="205" spans="1:14" s="75" customFormat="1" ht="15.75" customHeight="1" x14ac:dyDescent="0.25">
      <c r="A205" s="35" t="s">
        <v>756</v>
      </c>
      <c r="B205" s="34" t="s">
        <v>984</v>
      </c>
      <c r="C205" s="30" t="s">
        <v>760</v>
      </c>
      <c r="D205" s="32" t="s">
        <v>1270</v>
      </c>
      <c r="E205" s="76">
        <v>18.667999999999999</v>
      </c>
      <c r="F205" s="76">
        <v>0.26100000000000001</v>
      </c>
      <c r="G205" s="5">
        <f t="shared" si="39"/>
        <v>18.928999999999998</v>
      </c>
      <c r="H205" s="5">
        <v>56316.122000000003</v>
      </c>
      <c r="I205" s="5"/>
      <c r="J205" s="5">
        <f t="shared" si="44"/>
        <v>56316.122000000003</v>
      </c>
      <c r="K205" s="5">
        <f t="shared" si="43"/>
        <v>2975.1239896455177</v>
      </c>
      <c r="L205" s="5">
        <f t="shared" si="45"/>
        <v>0.87712450860923163</v>
      </c>
      <c r="M205" s="5">
        <f t="shared" si="46"/>
        <v>0</v>
      </c>
      <c r="N205" s="5">
        <f t="shared" si="47"/>
        <v>1175</v>
      </c>
    </row>
    <row r="206" spans="1:14" ht="31.5" x14ac:dyDescent="0.25">
      <c r="A206" s="35" t="s">
        <v>756</v>
      </c>
      <c r="B206" s="34" t="s">
        <v>984</v>
      </c>
      <c r="C206" s="30" t="s">
        <v>830</v>
      </c>
      <c r="D206" s="32" t="s">
        <v>1271</v>
      </c>
      <c r="E206" s="76">
        <v>4.5839999999999996</v>
      </c>
      <c r="F206" s="76">
        <v>0.05</v>
      </c>
      <c r="G206" s="5">
        <f t="shared" si="39"/>
        <v>4.6339999999999995</v>
      </c>
      <c r="H206" s="5">
        <v>39471.201000000001</v>
      </c>
      <c r="I206" s="5"/>
      <c r="J206" s="5">
        <f t="shared" si="44"/>
        <v>39471.201000000001</v>
      </c>
      <c r="K206" s="5">
        <f t="shared" si="43"/>
        <v>8517.7386706948655</v>
      </c>
      <c r="L206" s="5">
        <f t="shared" si="45"/>
        <v>2.511195288666022</v>
      </c>
      <c r="M206" s="5">
        <f t="shared" si="46"/>
        <v>11090.6</v>
      </c>
      <c r="N206" s="5">
        <f t="shared" si="47"/>
        <v>0</v>
      </c>
    </row>
    <row r="207" spans="1:14" ht="31.5" x14ac:dyDescent="0.25">
      <c r="A207" s="35" t="s">
        <v>756</v>
      </c>
      <c r="B207" s="34" t="s">
        <v>986</v>
      </c>
      <c r="C207" s="30" t="s">
        <v>973</v>
      </c>
      <c r="D207" s="32" t="s">
        <v>2927</v>
      </c>
      <c r="E207" s="76">
        <v>48.473999999999997</v>
      </c>
      <c r="F207" s="76">
        <v>0.45300000000000001</v>
      </c>
      <c r="G207" s="5">
        <f t="shared" si="39"/>
        <v>48.927</v>
      </c>
      <c r="H207" s="5">
        <v>116428.397</v>
      </c>
      <c r="I207" s="5"/>
      <c r="J207" s="5">
        <f t="shared" si="44"/>
        <v>116428.397</v>
      </c>
      <c r="K207" s="5">
        <f t="shared" si="43"/>
        <v>2379.6349050626445</v>
      </c>
      <c r="L207" s="5">
        <f t="shared" si="45"/>
        <v>0.70156272613738668</v>
      </c>
      <c r="M207" s="5">
        <f t="shared" si="46"/>
        <v>0</v>
      </c>
      <c r="N207" s="5">
        <f t="shared" si="47"/>
        <v>26345.5</v>
      </c>
    </row>
    <row r="208" spans="1:14" ht="15.75" x14ac:dyDescent="0.25">
      <c r="A208" s="35" t="s">
        <v>756</v>
      </c>
      <c r="B208" s="34" t="s">
        <v>986</v>
      </c>
      <c r="C208" s="30" t="s">
        <v>974</v>
      </c>
      <c r="D208" s="32" t="s">
        <v>1382</v>
      </c>
      <c r="E208" s="76">
        <v>42.875</v>
      </c>
      <c r="F208" s="76">
        <v>0.41699999999999998</v>
      </c>
      <c r="G208" s="5">
        <f t="shared" si="39"/>
        <v>43.292000000000002</v>
      </c>
      <c r="H208" s="5">
        <v>127132.613</v>
      </c>
      <c r="I208" s="5"/>
      <c r="J208" s="5">
        <f t="shared" si="44"/>
        <v>127132.613</v>
      </c>
      <c r="K208" s="5">
        <f t="shared" si="43"/>
        <v>2936.630624595768</v>
      </c>
      <c r="L208" s="5">
        <f t="shared" si="45"/>
        <v>0.86577591472827531</v>
      </c>
      <c r="M208" s="5">
        <f t="shared" si="46"/>
        <v>0</v>
      </c>
      <c r="N208" s="5">
        <f t="shared" si="47"/>
        <v>4020.4</v>
      </c>
    </row>
    <row r="209" spans="1:14" ht="31.5" x14ac:dyDescent="0.25">
      <c r="A209" s="35" t="s">
        <v>756</v>
      </c>
      <c r="B209" s="34" t="s">
        <v>984</v>
      </c>
      <c r="C209" s="30" t="s">
        <v>1029</v>
      </c>
      <c r="D209" s="32" t="s">
        <v>2928</v>
      </c>
      <c r="E209" s="76">
        <v>7.6749999999999998</v>
      </c>
      <c r="F209" s="76">
        <v>4.1000000000000002E-2</v>
      </c>
      <c r="G209" s="5">
        <f t="shared" si="39"/>
        <v>7.7160000000000002</v>
      </c>
      <c r="H209" s="5">
        <v>37377.983999999997</v>
      </c>
      <c r="I209" s="5"/>
      <c r="J209" s="5">
        <f t="shared" si="44"/>
        <v>37377.983999999997</v>
      </c>
      <c r="K209" s="5">
        <f t="shared" ref="K209:K216" si="48">J209/G209</f>
        <v>4844.2177293934674</v>
      </c>
      <c r="L209" s="5">
        <f t="shared" si="45"/>
        <v>1.4281697536903777</v>
      </c>
      <c r="M209" s="5">
        <f t="shared" si="46"/>
        <v>4294.3999999999996</v>
      </c>
      <c r="N209" s="5">
        <f t="shared" si="47"/>
        <v>0</v>
      </c>
    </row>
    <row r="210" spans="1:14" ht="31.5" x14ac:dyDescent="0.25">
      <c r="A210" s="35" t="s">
        <v>756</v>
      </c>
      <c r="B210" s="34" t="s">
        <v>984</v>
      </c>
      <c r="C210" s="30" t="s">
        <v>1030</v>
      </c>
      <c r="D210" s="32" t="s">
        <v>2929</v>
      </c>
      <c r="E210" s="76">
        <v>3.8879999999999999</v>
      </c>
      <c r="F210" s="76">
        <v>2.1000000000000001E-2</v>
      </c>
      <c r="G210" s="5">
        <f t="shared" si="39"/>
        <v>3.9089999999999998</v>
      </c>
      <c r="H210" s="5">
        <v>8823.098</v>
      </c>
      <c r="I210" s="5"/>
      <c r="J210" s="5">
        <f t="shared" si="44"/>
        <v>8823.098</v>
      </c>
      <c r="K210" s="5">
        <f t="shared" si="48"/>
        <v>2257.1240726528526</v>
      </c>
      <c r="L210" s="5">
        <f t="shared" si="45"/>
        <v>0.66544414618887504</v>
      </c>
      <c r="M210" s="5">
        <f t="shared" si="46"/>
        <v>0</v>
      </c>
      <c r="N210" s="5">
        <f t="shared" si="47"/>
        <v>2488</v>
      </c>
    </row>
    <row r="211" spans="1:14" ht="31.5" x14ac:dyDescent="0.25">
      <c r="A211" s="35" t="s">
        <v>756</v>
      </c>
      <c r="B211" s="34" t="s">
        <v>985</v>
      </c>
      <c r="C211" s="30" t="s">
        <v>1031</v>
      </c>
      <c r="D211" s="32" t="s">
        <v>2930</v>
      </c>
      <c r="E211" s="76">
        <v>21.442</v>
      </c>
      <c r="F211" s="76">
        <v>0.23</v>
      </c>
      <c r="G211" s="5">
        <f t="shared" si="39"/>
        <v>21.672000000000001</v>
      </c>
      <c r="H211" s="5">
        <v>63446.683999999994</v>
      </c>
      <c r="I211" s="5"/>
      <c r="J211" s="5">
        <f t="shared" ref="J211:J216" si="49">H211+I211</f>
        <v>63446.683999999994</v>
      </c>
      <c r="K211" s="5">
        <f t="shared" si="48"/>
        <v>2927.5878552971571</v>
      </c>
      <c r="L211" s="5">
        <f t="shared" si="45"/>
        <v>0.86310993018271831</v>
      </c>
      <c r="M211" s="5">
        <f t="shared" si="46"/>
        <v>0</v>
      </c>
      <c r="N211" s="5">
        <f t="shared" si="47"/>
        <v>2169.4</v>
      </c>
    </row>
    <row r="212" spans="1:14" ht="31.5" x14ac:dyDescent="0.25">
      <c r="A212" s="35" t="s">
        <v>756</v>
      </c>
      <c r="B212" s="34" t="s">
        <v>985</v>
      </c>
      <c r="C212" s="30" t="s">
        <v>1032</v>
      </c>
      <c r="D212" s="32" t="s">
        <v>2931</v>
      </c>
      <c r="E212" s="76">
        <v>11.785</v>
      </c>
      <c r="F212" s="76">
        <v>0.16800000000000001</v>
      </c>
      <c r="G212" s="5">
        <f t="shared" si="39"/>
        <v>11.952999999999999</v>
      </c>
      <c r="H212" s="5">
        <v>15426.559000000001</v>
      </c>
      <c r="I212" s="5"/>
      <c r="J212" s="5">
        <f t="shared" si="49"/>
        <v>15426.559000000001</v>
      </c>
      <c r="K212" s="5">
        <f t="shared" si="48"/>
        <v>1290.6014389692966</v>
      </c>
      <c r="L212" s="5">
        <f t="shared" si="45"/>
        <v>0.38049444557811185</v>
      </c>
      <c r="M212" s="5">
        <f t="shared" si="46"/>
        <v>0</v>
      </c>
      <c r="N212" s="5">
        <f t="shared" si="47"/>
        <v>16850</v>
      </c>
    </row>
    <row r="213" spans="1:14" ht="31.5" x14ac:dyDescent="0.25">
      <c r="A213" s="35" t="s">
        <v>756</v>
      </c>
      <c r="B213" s="34" t="s">
        <v>984</v>
      </c>
      <c r="C213" s="30" t="s">
        <v>1033</v>
      </c>
      <c r="D213" s="32" t="s">
        <v>2328</v>
      </c>
      <c r="E213" s="76">
        <v>4.7439999999999998</v>
      </c>
      <c r="F213" s="76">
        <v>5.5E-2</v>
      </c>
      <c r="G213" s="5">
        <f t="shared" si="39"/>
        <v>4.7989999999999995</v>
      </c>
      <c r="H213" s="5">
        <v>6813.8940000000002</v>
      </c>
      <c r="I213" s="5"/>
      <c r="J213" s="5">
        <f t="shared" si="49"/>
        <v>6813.8940000000002</v>
      </c>
      <c r="K213" s="5">
        <f t="shared" si="48"/>
        <v>1419.8570535528238</v>
      </c>
      <c r="L213" s="5">
        <f t="shared" si="45"/>
        <v>0.41860151870216972</v>
      </c>
      <c r="M213" s="5">
        <f t="shared" si="46"/>
        <v>0</v>
      </c>
      <c r="N213" s="5">
        <f t="shared" si="47"/>
        <v>6268.9</v>
      </c>
    </row>
    <row r="214" spans="1:14" ht="31.5" x14ac:dyDescent="0.25">
      <c r="A214" s="35" t="s">
        <v>756</v>
      </c>
      <c r="B214" s="34" t="s">
        <v>983</v>
      </c>
      <c r="C214" s="30" t="s">
        <v>1034</v>
      </c>
      <c r="D214" s="32" t="s">
        <v>2932</v>
      </c>
      <c r="E214" s="76">
        <v>23.4</v>
      </c>
      <c r="F214" s="76">
        <v>0.47199999999999998</v>
      </c>
      <c r="G214" s="5">
        <f t="shared" si="39"/>
        <v>23.872</v>
      </c>
      <c r="H214" s="5">
        <v>41250.053</v>
      </c>
      <c r="I214" s="5">
        <f>(106+175.6)*0.6</f>
        <v>168.96</v>
      </c>
      <c r="J214" s="5">
        <f t="shared" si="49"/>
        <v>41419.012999999999</v>
      </c>
      <c r="K214" s="5">
        <f t="shared" si="48"/>
        <v>1735.0457858579089</v>
      </c>
      <c r="L214" s="5">
        <f t="shared" ref="L214:L237" si="50">K214/$K$1659</f>
        <v>0.5115252969730727</v>
      </c>
      <c r="M214" s="5">
        <f t="shared" si="46"/>
        <v>0</v>
      </c>
      <c r="N214" s="5">
        <f t="shared" si="47"/>
        <v>25164.3</v>
      </c>
    </row>
    <row r="215" spans="1:14" ht="15.75" x14ac:dyDescent="0.25">
      <c r="A215" s="35" t="s">
        <v>756</v>
      </c>
      <c r="B215" s="34" t="s">
        <v>985</v>
      </c>
      <c r="C215" s="30" t="s">
        <v>1035</v>
      </c>
      <c r="D215" s="32" t="s">
        <v>2933</v>
      </c>
      <c r="E215" s="76">
        <v>10.292999999999999</v>
      </c>
      <c r="F215" s="76">
        <v>0.109</v>
      </c>
      <c r="G215" s="5">
        <f t="shared" si="39"/>
        <v>10.401999999999999</v>
      </c>
      <c r="H215" s="5">
        <v>193016.921</v>
      </c>
      <c r="I215" s="5"/>
      <c r="J215" s="5">
        <f t="shared" si="49"/>
        <v>193016.921</v>
      </c>
      <c r="K215" s="5">
        <f t="shared" si="48"/>
        <v>18555.750913285909</v>
      </c>
      <c r="L215" s="5">
        <f t="shared" si="50"/>
        <v>5.4705968417909308</v>
      </c>
      <c r="M215" s="5">
        <f t="shared" ref="M215:M236" si="51">ROUND(IF(L215&lt;110%,0,(K215-$K$1659*1.1)*0.5)*G215,1)</f>
        <v>77103</v>
      </c>
      <c r="N215" s="5">
        <f t="shared" ref="N215:N236" si="52">ROUND(IF(L215&gt;90%,0,(-K215+$K$1659*0.9)*0.8)*G215,1)</f>
        <v>0</v>
      </c>
    </row>
    <row r="216" spans="1:14" ht="15.75" x14ac:dyDescent="0.25">
      <c r="A216" s="35" t="s">
        <v>756</v>
      </c>
      <c r="B216" s="34" t="s">
        <v>986</v>
      </c>
      <c r="C216" s="30" t="s">
        <v>1058</v>
      </c>
      <c r="D216" s="32" t="s">
        <v>2934</v>
      </c>
      <c r="E216" s="76">
        <v>236.672</v>
      </c>
      <c r="F216" s="76">
        <v>4.1609999999999996</v>
      </c>
      <c r="G216" s="5">
        <f t="shared" ref="G216:G236" si="53">F216+E216</f>
        <v>240.833</v>
      </c>
      <c r="H216" s="5">
        <v>830464.60600000003</v>
      </c>
      <c r="I216" s="5">
        <f>(414.6+562.5+210)*0.6</f>
        <v>712.25999999999988</v>
      </c>
      <c r="J216" s="5">
        <f t="shared" si="49"/>
        <v>831176.86600000004</v>
      </c>
      <c r="K216" s="5">
        <f t="shared" si="48"/>
        <v>3451.2581996653284</v>
      </c>
      <c r="L216" s="5">
        <f t="shared" si="50"/>
        <v>1.0174981489849495</v>
      </c>
      <c r="M216" s="5">
        <f t="shared" si="51"/>
        <v>0</v>
      </c>
      <c r="N216" s="5">
        <f t="shared" si="52"/>
        <v>0</v>
      </c>
    </row>
    <row r="217" spans="1:14" ht="31.5" x14ac:dyDescent="0.25">
      <c r="A217" s="35" t="s">
        <v>756</v>
      </c>
      <c r="B217" s="34" t="s">
        <v>984</v>
      </c>
      <c r="C217" s="30" t="s">
        <v>1282</v>
      </c>
      <c r="D217" s="80" t="s">
        <v>1283</v>
      </c>
      <c r="E217" s="84">
        <v>3.8919999999999999</v>
      </c>
      <c r="F217" s="84">
        <v>0.155</v>
      </c>
      <c r="G217" s="84">
        <f t="shared" si="53"/>
        <v>4.0469999999999997</v>
      </c>
      <c r="H217" s="84">
        <v>7229.2550000000001</v>
      </c>
      <c r="I217" s="84"/>
      <c r="J217" s="5">
        <f t="shared" ref="J217:J236" si="54">H217+I217</f>
        <v>7229.2550000000001</v>
      </c>
      <c r="K217" s="5">
        <f t="shared" ref="K217:K237" si="55">J217/G217</f>
        <v>1786.3244378552015</v>
      </c>
      <c r="L217" s="5">
        <f t="shared" si="50"/>
        <v>0.52664324250805128</v>
      </c>
      <c r="M217" s="5">
        <f t="shared" si="51"/>
        <v>0</v>
      </c>
      <c r="N217" s="5">
        <f t="shared" si="52"/>
        <v>4100.1000000000004</v>
      </c>
    </row>
    <row r="218" spans="1:14" ht="31.5" x14ac:dyDescent="0.25">
      <c r="A218" s="35" t="s">
        <v>756</v>
      </c>
      <c r="B218" s="34" t="s">
        <v>983</v>
      </c>
      <c r="C218" s="30" t="s">
        <v>1284</v>
      </c>
      <c r="D218" s="80" t="s">
        <v>1285</v>
      </c>
      <c r="E218" s="84">
        <v>11.952999999999999</v>
      </c>
      <c r="F218" s="84">
        <v>9.9000000000000005E-2</v>
      </c>
      <c r="G218" s="84">
        <f t="shared" si="53"/>
        <v>12.052</v>
      </c>
      <c r="H218" s="84">
        <v>33701.262999999999</v>
      </c>
      <c r="I218" s="84"/>
      <c r="J218" s="5">
        <f t="shared" si="54"/>
        <v>33701.262999999999</v>
      </c>
      <c r="K218" s="5">
        <f t="shared" si="55"/>
        <v>2796.3211915034849</v>
      </c>
      <c r="L218" s="5">
        <f t="shared" si="50"/>
        <v>0.82440996057556382</v>
      </c>
      <c r="M218" s="5">
        <f t="shared" si="51"/>
        <v>0</v>
      </c>
      <c r="N218" s="5">
        <f t="shared" si="52"/>
        <v>2472.1</v>
      </c>
    </row>
    <row r="219" spans="1:14" ht="31.5" x14ac:dyDescent="0.25">
      <c r="A219" s="35" t="s">
        <v>756</v>
      </c>
      <c r="B219" s="34" t="s">
        <v>986</v>
      </c>
      <c r="C219" s="30" t="s">
        <v>1286</v>
      </c>
      <c r="D219" s="80" t="s">
        <v>1287</v>
      </c>
      <c r="E219" s="84">
        <v>23.768000000000001</v>
      </c>
      <c r="F219" s="84">
        <v>0.17799999999999999</v>
      </c>
      <c r="G219" s="84">
        <f t="shared" si="53"/>
        <v>23.946000000000002</v>
      </c>
      <c r="H219" s="84">
        <v>114783.379</v>
      </c>
      <c r="I219" s="84"/>
      <c r="J219" s="5">
        <f t="shared" si="54"/>
        <v>114783.379</v>
      </c>
      <c r="K219" s="5">
        <f t="shared" si="55"/>
        <v>4793.4260001670418</v>
      </c>
      <c r="L219" s="5">
        <f t="shared" si="50"/>
        <v>1.4131953624736775</v>
      </c>
      <c r="M219" s="5">
        <f t="shared" si="51"/>
        <v>12719.3</v>
      </c>
      <c r="N219" s="5">
        <f t="shared" si="52"/>
        <v>0</v>
      </c>
    </row>
    <row r="220" spans="1:14" ht="31.5" x14ac:dyDescent="0.25">
      <c r="A220" s="35" t="s">
        <v>756</v>
      </c>
      <c r="B220" s="34" t="s">
        <v>985</v>
      </c>
      <c r="C220" s="30" t="s">
        <v>1288</v>
      </c>
      <c r="D220" s="80" t="s">
        <v>1289</v>
      </c>
      <c r="E220" s="84">
        <v>18.172999999999998</v>
      </c>
      <c r="F220" s="84">
        <v>0.183</v>
      </c>
      <c r="G220" s="84">
        <f t="shared" si="53"/>
        <v>18.355999999999998</v>
      </c>
      <c r="H220" s="84">
        <v>60743.247000000003</v>
      </c>
      <c r="I220" s="84"/>
      <c r="J220" s="5">
        <f t="shared" si="54"/>
        <v>60743.247000000003</v>
      </c>
      <c r="K220" s="5">
        <f t="shared" si="55"/>
        <v>3309.1766724776644</v>
      </c>
      <c r="L220" s="5">
        <f t="shared" si="50"/>
        <v>0.9756097469719035</v>
      </c>
      <c r="M220" s="5">
        <f t="shared" si="51"/>
        <v>0</v>
      </c>
      <c r="N220" s="5">
        <f t="shared" si="52"/>
        <v>0</v>
      </c>
    </row>
    <row r="221" spans="1:14" ht="15.75" x14ac:dyDescent="0.25">
      <c r="A221" s="35" t="s">
        <v>756</v>
      </c>
      <c r="B221" s="34" t="s">
        <v>986</v>
      </c>
      <c r="C221" s="30" t="s">
        <v>1290</v>
      </c>
      <c r="D221" s="80" t="s">
        <v>2935</v>
      </c>
      <c r="E221" s="84">
        <v>983.51499999999999</v>
      </c>
      <c r="F221" s="84">
        <v>32.74</v>
      </c>
      <c r="G221" s="84">
        <f t="shared" si="53"/>
        <v>1016.255</v>
      </c>
      <c r="H221" s="84">
        <v>6179586.5410000002</v>
      </c>
      <c r="I221" s="84">
        <f>(-349.1-852.5-3664.3-253.2-211.9-627-283.5-414.6-562.5-1122.6-254.8-346.4-704.3-227.5-266-320.5-256.4-543.9-381.7-3454.1-590.3-478.8-250.9-203.1-7776-106-175.6+825.51359-229.1-161.5-673.7-1956.5-96.7-165.3-192.2-129.4-210-91.3-120.8-81.4-81-101.6-180.5-187.3-171.1-168.5-87.8-756.8-86.2-106.8-136.2-161.9+26.476+24.984+34.173-98.9-92.5-83.5)*0.6</f>
        <v>-18224.912045999998</v>
      </c>
      <c r="J221" s="5">
        <f t="shared" si="54"/>
        <v>6161361.6289539998</v>
      </c>
      <c r="K221" s="5">
        <f t="shared" si="55"/>
        <v>6062.8106419687974</v>
      </c>
      <c r="L221" s="5">
        <f t="shared" si="50"/>
        <v>1.7874346829361272</v>
      </c>
      <c r="M221" s="5">
        <f t="shared" si="51"/>
        <v>1184808</v>
      </c>
      <c r="N221" s="5">
        <f t="shared" si="52"/>
        <v>0</v>
      </c>
    </row>
    <row r="222" spans="1:14" ht="31.5" x14ac:dyDescent="0.25">
      <c r="A222" s="35" t="s">
        <v>756</v>
      </c>
      <c r="B222" s="34" t="s">
        <v>986</v>
      </c>
      <c r="C222" s="30" t="s">
        <v>1292</v>
      </c>
      <c r="D222" s="80" t="s">
        <v>1293</v>
      </c>
      <c r="E222" s="84">
        <v>44.375999999999998</v>
      </c>
      <c r="F222" s="84">
        <v>0.48399999999999999</v>
      </c>
      <c r="G222" s="84">
        <f t="shared" si="53"/>
        <v>44.86</v>
      </c>
      <c r="H222" s="84">
        <v>132727.78</v>
      </c>
      <c r="I222" s="84"/>
      <c r="J222" s="5">
        <f t="shared" si="54"/>
        <v>132727.78</v>
      </c>
      <c r="K222" s="5">
        <f t="shared" si="55"/>
        <v>2958.7111012037449</v>
      </c>
      <c r="L222" s="5">
        <f t="shared" si="50"/>
        <v>0.87228566936775742</v>
      </c>
      <c r="M222" s="5">
        <f t="shared" si="51"/>
        <v>0</v>
      </c>
      <c r="N222" s="5">
        <f t="shared" si="52"/>
        <v>3373.6</v>
      </c>
    </row>
    <row r="223" spans="1:14" s="13" customFormat="1" ht="15.75" x14ac:dyDescent="0.25">
      <c r="A223" s="35" t="s">
        <v>756</v>
      </c>
      <c r="B223" s="34" t="s">
        <v>986</v>
      </c>
      <c r="C223" s="30" t="s">
        <v>1294</v>
      </c>
      <c r="D223" s="80" t="s">
        <v>1295</v>
      </c>
      <c r="E223" s="84">
        <v>615.49199999999996</v>
      </c>
      <c r="F223" s="84">
        <v>7.3979999999999997</v>
      </c>
      <c r="G223" s="84">
        <f t="shared" si="53"/>
        <v>622.89</v>
      </c>
      <c r="H223" s="84">
        <v>3245176.8640000001</v>
      </c>
      <c r="I223" s="84">
        <f>(126.82378+229.1+161.5+673.7+1956.5)*0.6</f>
        <v>1888.5742679999998</v>
      </c>
      <c r="J223" s="5">
        <f t="shared" si="54"/>
        <v>3247065.4382680003</v>
      </c>
      <c r="K223" s="5">
        <f t="shared" si="55"/>
        <v>5212.9034633209722</v>
      </c>
      <c r="L223" s="5">
        <f t="shared" si="50"/>
        <v>1.5368654901799776</v>
      </c>
      <c r="M223" s="5">
        <f t="shared" si="51"/>
        <v>461501.3</v>
      </c>
      <c r="N223" s="5">
        <f t="shared" si="52"/>
        <v>0</v>
      </c>
    </row>
    <row r="224" spans="1:14" s="13" customFormat="1" ht="31.5" x14ac:dyDescent="0.25">
      <c r="A224" s="35" t="s">
        <v>756</v>
      </c>
      <c r="B224" s="34" t="s">
        <v>984</v>
      </c>
      <c r="C224" s="30" t="s">
        <v>1296</v>
      </c>
      <c r="D224" s="80" t="s">
        <v>1297</v>
      </c>
      <c r="E224" s="84">
        <v>18.91</v>
      </c>
      <c r="F224" s="84">
        <v>5.0999999999999997E-2</v>
      </c>
      <c r="G224" s="84">
        <f t="shared" si="53"/>
        <v>18.960999999999999</v>
      </c>
      <c r="H224" s="84">
        <v>48823.014999999999</v>
      </c>
      <c r="I224" s="84"/>
      <c r="J224" s="5">
        <f t="shared" si="54"/>
        <v>48823.014999999999</v>
      </c>
      <c r="K224" s="5">
        <f t="shared" si="55"/>
        <v>2574.9177258583409</v>
      </c>
      <c r="L224" s="5">
        <f t="shared" si="50"/>
        <v>0.75913590588599222</v>
      </c>
      <c r="M224" s="5">
        <f t="shared" si="51"/>
        <v>0</v>
      </c>
      <c r="N224" s="5">
        <f t="shared" si="52"/>
        <v>7247.6</v>
      </c>
    </row>
    <row r="225" spans="1:14" s="13" customFormat="1" ht="31.5" x14ac:dyDescent="0.25">
      <c r="A225" s="35" t="s">
        <v>756</v>
      </c>
      <c r="B225" s="34" t="s">
        <v>984</v>
      </c>
      <c r="C225" s="30" t="s">
        <v>1298</v>
      </c>
      <c r="D225" s="80" t="s">
        <v>1299</v>
      </c>
      <c r="E225" s="84">
        <v>6.6340000000000003</v>
      </c>
      <c r="F225" s="84">
        <v>5.2999999999999999E-2</v>
      </c>
      <c r="G225" s="84">
        <f t="shared" si="53"/>
        <v>6.6870000000000003</v>
      </c>
      <c r="H225" s="84">
        <v>16727.071</v>
      </c>
      <c r="I225" s="84"/>
      <c r="J225" s="5">
        <f t="shared" si="54"/>
        <v>16727.071</v>
      </c>
      <c r="K225" s="5">
        <f t="shared" si="55"/>
        <v>2501.4312845820245</v>
      </c>
      <c r="L225" s="5">
        <f t="shared" si="50"/>
        <v>0.73747067145601131</v>
      </c>
      <c r="M225" s="5">
        <f t="shared" si="51"/>
        <v>0</v>
      </c>
      <c r="N225" s="5">
        <f t="shared" si="52"/>
        <v>2949.2</v>
      </c>
    </row>
    <row r="226" spans="1:14" s="13" customFormat="1" ht="31.5" x14ac:dyDescent="0.25">
      <c r="A226" s="35" t="s">
        <v>756</v>
      </c>
      <c r="B226" s="34" t="s">
        <v>986</v>
      </c>
      <c r="C226" s="30" t="s">
        <v>1300</v>
      </c>
      <c r="D226" s="80" t="s">
        <v>1301</v>
      </c>
      <c r="E226" s="85">
        <v>107.464</v>
      </c>
      <c r="F226" s="85">
        <v>2.0640000000000001</v>
      </c>
      <c r="G226" s="85">
        <f t="shared" si="53"/>
        <v>109.52799999999999</v>
      </c>
      <c r="H226" s="49">
        <v>469955.924</v>
      </c>
      <c r="I226" s="49"/>
      <c r="J226" s="5">
        <f t="shared" si="54"/>
        <v>469955.924</v>
      </c>
      <c r="K226" s="5">
        <f t="shared" si="55"/>
        <v>4290.7377474253162</v>
      </c>
      <c r="L226" s="5">
        <f t="shared" si="50"/>
        <v>1.2649930730214471</v>
      </c>
      <c r="M226" s="5">
        <f t="shared" si="51"/>
        <v>30648.2</v>
      </c>
      <c r="N226" s="5">
        <f t="shared" si="52"/>
        <v>0</v>
      </c>
    </row>
    <row r="227" spans="1:14" s="13" customFormat="1" ht="31.5" x14ac:dyDescent="0.25">
      <c r="A227" s="35" t="s">
        <v>756</v>
      </c>
      <c r="B227" s="34" t="s">
        <v>986</v>
      </c>
      <c r="C227" s="30" t="s">
        <v>1302</v>
      </c>
      <c r="D227" s="80" t="s">
        <v>1303</v>
      </c>
      <c r="E227" s="84">
        <v>70.23</v>
      </c>
      <c r="F227" s="84">
        <v>1.1930000000000001</v>
      </c>
      <c r="G227" s="84">
        <f t="shared" si="53"/>
        <v>71.423000000000002</v>
      </c>
      <c r="H227" s="5">
        <v>167273.65299999999</v>
      </c>
      <c r="I227" s="5">
        <f>(320.5)*0.6</f>
        <v>192.29999999999998</v>
      </c>
      <c r="J227" s="5">
        <f t="shared" si="54"/>
        <v>167465.95299999998</v>
      </c>
      <c r="K227" s="5">
        <f t="shared" si="55"/>
        <v>2344.7062290858685</v>
      </c>
      <c r="L227" s="5">
        <f t="shared" si="50"/>
        <v>0.69126507203653986</v>
      </c>
      <c r="M227" s="5">
        <f t="shared" si="51"/>
        <v>0</v>
      </c>
      <c r="N227" s="5">
        <f t="shared" si="52"/>
        <v>40454.5</v>
      </c>
    </row>
    <row r="228" spans="1:14" s="13" customFormat="1" ht="31.5" x14ac:dyDescent="0.25">
      <c r="A228" s="35" t="s">
        <v>756</v>
      </c>
      <c r="B228" s="34" t="s">
        <v>984</v>
      </c>
      <c r="C228" s="30" t="s">
        <v>1304</v>
      </c>
      <c r="D228" s="80" t="s">
        <v>1305</v>
      </c>
      <c r="E228" s="84">
        <v>16.631</v>
      </c>
      <c r="F228" s="84">
        <v>4.1000000000000002E-2</v>
      </c>
      <c r="G228" s="84">
        <f t="shared" si="53"/>
        <v>16.672000000000001</v>
      </c>
      <c r="H228" s="84">
        <v>46045.667000000001</v>
      </c>
      <c r="I228" s="84"/>
      <c r="J228" s="5">
        <f t="shared" si="54"/>
        <v>46045.667000000001</v>
      </c>
      <c r="K228" s="5">
        <f t="shared" si="55"/>
        <v>2761.8562260076774</v>
      </c>
      <c r="L228" s="5">
        <f t="shared" si="50"/>
        <v>0.81424901735774979</v>
      </c>
      <c r="M228" s="5">
        <f t="shared" si="51"/>
        <v>0</v>
      </c>
      <c r="N228" s="5">
        <f t="shared" si="52"/>
        <v>3879.4</v>
      </c>
    </row>
    <row r="229" spans="1:14" s="13" customFormat="1" ht="31.5" x14ac:dyDescent="0.25">
      <c r="A229" s="35" t="s">
        <v>756</v>
      </c>
      <c r="B229" s="34" t="s">
        <v>986</v>
      </c>
      <c r="C229" s="30" t="s">
        <v>1306</v>
      </c>
      <c r="D229" s="80" t="s">
        <v>1307</v>
      </c>
      <c r="E229" s="84">
        <v>103.07299999999999</v>
      </c>
      <c r="F229" s="84">
        <v>3.9</v>
      </c>
      <c r="G229" s="84">
        <f t="shared" si="53"/>
        <v>106.973</v>
      </c>
      <c r="H229" s="5">
        <v>315139.92</v>
      </c>
      <c r="I229" s="5">
        <f>(85.2)*0.6</f>
        <v>51.12</v>
      </c>
      <c r="J229" s="5">
        <f t="shared" si="54"/>
        <v>315191.03999999998</v>
      </c>
      <c r="K229" s="5">
        <f t="shared" si="55"/>
        <v>2946.4541519822756</v>
      </c>
      <c r="L229" s="5">
        <f t="shared" si="50"/>
        <v>0.86867208196758638</v>
      </c>
      <c r="M229" s="5">
        <f t="shared" si="51"/>
        <v>0</v>
      </c>
      <c r="N229" s="5">
        <f t="shared" si="52"/>
        <v>9093.7000000000007</v>
      </c>
    </row>
    <row r="230" spans="1:14" s="13" customFormat="1" ht="31.5" x14ac:dyDescent="0.25">
      <c r="A230" s="35" t="s">
        <v>756</v>
      </c>
      <c r="B230" s="34" t="s">
        <v>986</v>
      </c>
      <c r="C230" s="30" t="s">
        <v>1308</v>
      </c>
      <c r="D230" s="80" t="s">
        <v>1309</v>
      </c>
      <c r="E230" s="84">
        <v>27.573</v>
      </c>
      <c r="F230" s="84">
        <v>3.0579999999999998</v>
      </c>
      <c r="G230" s="84">
        <f t="shared" si="53"/>
        <v>30.631</v>
      </c>
      <c r="H230" s="5">
        <v>136576.45000000001</v>
      </c>
      <c r="I230" s="5"/>
      <c r="J230" s="5">
        <f t="shared" si="54"/>
        <v>136576.45000000001</v>
      </c>
      <c r="K230" s="5">
        <f t="shared" si="55"/>
        <v>4458.7656295909374</v>
      </c>
      <c r="L230" s="5">
        <f t="shared" si="50"/>
        <v>1.314530965926116</v>
      </c>
      <c r="M230" s="5">
        <f t="shared" si="51"/>
        <v>11144.6</v>
      </c>
      <c r="N230" s="5">
        <f t="shared" si="52"/>
        <v>0</v>
      </c>
    </row>
    <row r="231" spans="1:14" s="13" customFormat="1" ht="31.5" x14ac:dyDescent="0.25">
      <c r="A231" s="35" t="s">
        <v>756</v>
      </c>
      <c r="B231" s="34" t="s">
        <v>985</v>
      </c>
      <c r="C231" s="30" t="s">
        <v>1310</v>
      </c>
      <c r="D231" s="80" t="s">
        <v>1311</v>
      </c>
      <c r="E231" s="84">
        <v>8.4890000000000008</v>
      </c>
      <c r="F231" s="84">
        <v>0.66500000000000004</v>
      </c>
      <c r="G231" s="84">
        <f t="shared" si="53"/>
        <v>9.1539999999999999</v>
      </c>
      <c r="H231" s="84">
        <v>23473.182000000001</v>
      </c>
      <c r="I231" s="84"/>
      <c r="J231" s="5">
        <f t="shared" si="54"/>
        <v>23473.182000000001</v>
      </c>
      <c r="K231" s="5">
        <f t="shared" si="55"/>
        <v>2564.2540965698058</v>
      </c>
      <c r="L231" s="5">
        <f t="shared" si="50"/>
        <v>0.75599206024048293</v>
      </c>
      <c r="M231" s="5">
        <f t="shared" si="51"/>
        <v>0</v>
      </c>
      <c r="N231" s="5">
        <f t="shared" si="52"/>
        <v>3577.1</v>
      </c>
    </row>
    <row r="232" spans="1:14" s="13" customFormat="1" ht="31.5" x14ac:dyDescent="0.25">
      <c r="A232" s="35" t="s">
        <v>756</v>
      </c>
      <c r="B232" s="34" t="s">
        <v>984</v>
      </c>
      <c r="C232" s="30" t="s">
        <v>1312</v>
      </c>
      <c r="D232" s="80" t="s">
        <v>1313</v>
      </c>
      <c r="E232" s="84">
        <v>10.316000000000001</v>
      </c>
      <c r="F232" s="84">
        <v>3.7999999999999999E-2</v>
      </c>
      <c r="G232" s="84">
        <f t="shared" si="53"/>
        <v>10.354000000000001</v>
      </c>
      <c r="H232" s="84">
        <v>13539.736000000001</v>
      </c>
      <c r="I232" s="84">
        <f>(4646.251)*0.6</f>
        <v>2787.7505999999998</v>
      </c>
      <c r="J232" s="5">
        <f t="shared" si="54"/>
        <v>16327.4866</v>
      </c>
      <c r="K232" s="5">
        <f t="shared" si="55"/>
        <v>1576.9254973923121</v>
      </c>
      <c r="L232" s="5">
        <f t="shared" si="50"/>
        <v>0.46490835569458122</v>
      </c>
      <c r="M232" s="5">
        <f t="shared" si="51"/>
        <v>0</v>
      </c>
      <c r="N232" s="5">
        <f t="shared" si="52"/>
        <v>12224.3</v>
      </c>
    </row>
    <row r="233" spans="1:14" s="12" customFormat="1" ht="31.5" x14ac:dyDescent="0.25">
      <c r="A233" s="35" t="s">
        <v>756</v>
      </c>
      <c r="B233" s="34" t="s">
        <v>983</v>
      </c>
      <c r="C233" s="30" t="s">
        <v>1314</v>
      </c>
      <c r="D233" s="80" t="s">
        <v>1315</v>
      </c>
      <c r="E233" s="84">
        <v>25.84</v>
      </c>
      <c r="F233" s="84">
        <v>0.19400000000000001</v>
      </c>
      <c r="G233" s="84">
        <f t="shared" si="53"/>
        <v>26.033999999999999</v>
      </c>
      <c r="H233" s="84">
        <v>70629.202000000005</v>
      </c>
      <c r="I233" s="84"/>
      <c r="J233" s="5">
        <f t="shared" si="54"/>
        <v>70629.202000000005</v>
      </c>
      <c r="K233" s="5">
        <f t="shared" si="55"/>
        <v>2712.9600522393794</v>
      </c>
      <c r="L233" s="5">
        <f t="shared" si="50"/>
        <v>0.79983347281619266</v>
      </c>
      <c r="M233" s="5">
        <f t="shared" si="51"/>
        <v>0</v>
      </c>
      <c r="N233" s="5">
        <f t="shared" si="52"/>
        <v>7076.2</v>
      </c>
    </row>
    <row r="234" spans="1:14" ht="31.5" x14ac:dyDescent="0.25">
      <c r="A234" s="35" t="s">
        <v>756</v>
      </c>
      <c r="B234" s="34" t="s">
        <v>986</v>
      </c>
      <c r="C234" s="30" t="s">
        <v>1316</v>
      </c>
      <c r="D234" s="80" t="s">
        <v>1317</v>
      </c>
      <c r="E234" s="84">
        <v>30.021000000000001</v>
      </c>
      <c r="F234" s="84">
        <v>0.51500000000000001</v>
      </c>
      <c r="G234" s="84">
        <f t="shared" si="53"/>
        <v>30.536000000000001</v>
      </c>
      <c r="H234" s="5">
        <v>85154.58</v>
      </c>
      <c r="I234" s="5">
        <f>(266-351.4)*0.6</f>
        <v>-51.239999999999988</v>
      </c>
      <c r="J234" s="5">
        <f t="shared" si="54"/>
        <v>85103.34</v>
      </c>
      <c r="K234" s="5">
        <f t="shared" si="55"/>
        <v>2786.9838878700548</v>
      </c>
      <c r="L234" s="5">
        <f t="shared" si="50"/>
        <v>0.82165714157046965</v>
      </c>
      <c r="M234" s="5">
        <f t="shared" si="51"/>
        <v>0</v>
      </c>
      <c r="N234" s="5">
        <f t="shared" si="52"/>
        <v>6491.5</v>
      </c>
    </row>
    <row r="235" spans="1:14" ht="31.5" x14ac:dyDescent="0.25">
      <c r="A235" s="35" t="s">
        <v>756</v>
      </c>
      <c r="B235" s="34" t="s">
        <v>984</v>
      </c>
      <c r="C235" s="30" t="s">
        <v>1318</v>
      </c>
      <c r="D235" s="80" t="s">
        <v>1319</v>
      </c>
      <c r="E235" s="84">
        <v>3.371</v>
      </c>
      <c r="F235" s="84">
        <v>0.17899999999999999</v>
      </c>
      <c r="G235" s="84">
        <f t="shared" si="53"/>
        <v>3.55</v>
      </c>
      <c r="H235" s="84">
        <v>10681.663</v>
      </c>
      <c r="I235" s="84"/>
      <c r="J235" s="5">
        <f t="shared" si="54"/>
        <v>10681.663</v>
      </c>
      <c r="K235" s="5">
        <f t="shared" si="55"/>
        <v>3008.9191549295779</v>
      </c>
      <c r="L235" s="5">
        <f t="shared" si="50"/>
        <v>0.88708798167667879</v>
      </c>
      <c r="M235" s="5">
        <f t="shared" si="51"/>
        <v>0</v>
      </c>
      <c r="N235" s="5">
        <f t="shared" si="52"/>
        <v>124.4</v>
      </c>
    </row>
    <row r="236" spans="1:14" ht="15.75" x14ac:dyDescent="0.25">
      <c r="A236" s="35" t="s">
        <v>756</v>
      </c>
      <c r="B236" s="34" t="s">
        <v>986</v>
      </c>
      <c r="C236" s="30" t="s">
        <v>1320</v>
      </c>
      <c r="D236" s="80" t="s">
        <v>1321</v>
      </c>
      <c r="E236" s="84">
        <v>27.32</v>
      </c>
      <c r="F236" s="84">
        <v>1.7490000000000001</v>
      </c>
      <c r="G236" s="84">
        <f t="shared" si="53"/>
        <v>29.068999999999999</v>
      </c>
      <c r="H236" s="5">
        <v>141073.546</v>
      </c>
      <c r="I236" s="5"/>
      <c r="J236" s="5">
        <f t="shared" si="54"/>
        <v>141073.546</v>
      </c>
      <c r="K236" s="5">
        <f t="shared" si="55"/>
        <v>4853.0581031339234</v>
      </c>
      <c r="L236" s="5">
        <f t="shared" si="50"/>
        <v>1.430776068082654</v>
      </c>
      <c r="M236" s="5">
        <f t="shared" si="51"/>
        <v>16307.1</v>
      </c>
      <c r="N236" s="5">
        <f t="shared" si="52"/>
        <v>0</v>
      </c>
    </row>
    <row r="237" spans="1:14" ht="15.75" x14ac:dyDescent="0.25">
      <c r="A237" s="17" t="s">
        <v>761</v>
      </c>
      <c r="B237" s="17" t="s">
        <v>7</v>
      </c>
      <c r="C237" s="17" t="s">
        <v>762</v>
      </c>
      <c r="D237" s="11" t="s">
        <v>11</v>
      </c>
      <c r="E237" s="11">
        <f t="shared" ref="E237:J237" si="56">E239+E245+E238</f>
        <v>1823.796</v>
      </c>
      <c r="F237" s="11">
        <f t="shared" si="56"/>
        <v>499.99100000000004</v>
      </c>
      <c r="G237" s="11">
        <f t="shared" si="56"/>
        <v>2323.1189999999997</v>
      </c>
      <c r="H237" s="11">
        <f t="shared" si="56"/>
        <v>7774597.2877700003</v>
      </c>
      <c r="I237" s="11">
        <f t="shared" si="56"/>
        <v>6268.0733999999984</v>
      </c>
      <c r="J237" s="11">
        <f t="shared" si="56"/>
        <v>7780865.3611699995</v>
      </c>
      <c r="K237" s="11">
        <f t="shared" si="55"/>
        <v>3349.3184641725202</v>
      </c>
      <c r="L237" s="11">
        <f t="shared" si="50"/>
        <v>0.98744432913976787</v>
      </c>
      <c r="M237" s="11">
        <f>M239+M245+M238</f>
        <v>580143.1</v>
      </c>
      <c r="N237" s="11">
        <f>N239+N245+N238</f>
        <v>967016.80000000016</v>
      </c>
    </row>
    <row r="238" spans="1:14" ht="15.75" x14ac:dyDescent="0.25">
      <c r="A238" s="33" t="s">
        <v>761</v>
      </c>
      <c r="B238" s="34" t="s">
        <v>6</v>
      </c>
      <c r="C238" s="18" t="s">
        <v>63</v>
      </c>
      <c r="D238" s="32" t="s">
        <v>840</v>
      </c>
      <c r="E238" s="5">
        <v>0</v>
      </c>
      <c r="F238" s="5">
        <v>0.66800000000000004</v>
      </c>
      <c r="G238" s="5"/>
      <c r="H238" s="49"/>
      <c r="I238" s="49"/>
      <c r="J238" s="5"/>
      <c r="K238" s="5"/>
      <c r="L238" s="5"/>
      <c r="M238" s="5"/>
      <c r="N238" s="5"/>
    </row>
    <row r="239" spans="1:14" ht="15.75" x14ac:dyDescent="0.25">
      <c r="A239" s="19" t="s">
        <v>761</v>
      </c>
      <c r="B239" s="19" t="s">
        <v>5</v>
      </c>
      <c r="C239" s="19" t="s">
        <v>763</v>
      </c>
      <c r="D239" s="7" t="s">
        <v>2796</v>
      </c>
      <c r="E239" s="7">
        <f t="shared" ref="E239:J239" si="57">SUM(E240:E244)</f>
        <v>0</v>
      </c>
      <c r="F239" s="7">
        <f t="shared" si="57"/>
        <v>0</v>
      </c>
      <c r="G239" s="7">
        <f t="shared" si="57"/>
        <v>0</v>
      </c>
      <c r="H239" s="7">
        <f t="shared" si="57"/>
        <v>0</v>
      </c>
      <c r="I239" s="7">
        <f t="shared" si="57"/>
        <v>0</v>
      </c>
      <c r="J239" s="7">
        <f t="shared" si="57"/>
        <v>0</v>
      </c>
      <c r="K239" s="7" t="e">
        <f>J239/G239</f>
        <v>#DIV/0!</v>
      </c>
      <c r="L239" s="7" t="e">
        <f>K239/$K$1659</f>
        <v>#DIV/0!</v>
      </c>
      <c r="M239" s="7">
        <f>SUM(M240:M244)</f>
        <v>0</v>
      </c>
      <c r="N239" s="7">
        <f>SUM(N240:N244)</f>
        <v>0</v>
      </c>
    </row>
    <row r="240" spans="1:14" ht="15.75" x14ac:dyDescent="0.25">
      <c r="A240" s="33" t="s">
        <v>761</v>
      </c>
      <c r="B240" s="34" t="s">
        <v>4</v>
      </c>
      <c r="C240" s="18" t="s">
        <v>64</v>
      </c>
      <c r="D240" s="32" t="s">
        <v>2936</v>
      </c>
      <c r="E240" s="76"/>
      <c r="F240" s="76"/>
      <c r="G240" s="5"/>
      <c r="H240" s="5"/>
      <c r="I240" s="5"/>
      <c r="J240" s="5"/>
      <c r="K240" s="5"/>
      <c r="L240" s="5"/>
      <c r="M240" s="5"/>
      <c r="N240" s="5"/>
    </row>
    <row r="241" spans="1:14" ht="15.75" x14ac:dyDescent="0.25">
      <c r="A241" s="33" t="s">
        <v>761</v>
      </c>
      <c r="B241" s="34" t="s">
        <v>4</v>
      </c>
      <c r="C241" s="18" t="s">
        <v>65</v>
      </c>
      <c r="D241" s="32" t="s">
        <v>896</v>
      </c>
      <c r="E241" s="76"/>
      <c r="F241" s="76"/>
      <c r="G241" s="5"/>
      <c r="H241" s="5"/>
      <c r="I241" s="5"/>
      <c r="J241" s="5"/>
      <c r="K241" s="5"/>
      <c r="L241" s="5"/>
      <c r="M241" s="5"/>
      <c r="N241" s="5"/>
    </row>
    <row r="242" spans="1:14" ht="15.75" x14ac:dyDescent="0.25">
      <c r="A242" s="33" t="s">
        <v>761</v>
      </c>
      <c r="B242" s="34" t="s">
        <v>4</v>
      </c>
      <c r="C242" s="18" t="s">
        <v>66</v>
      </c>
      <c r="D242" s="32" t="s">
        <v>895</v>
      </c>
      <c r="E242" s="76"/>
      <c r="F242" s="76"/>
      <c r="G242" s="5"/>
      <c r="H242" s="5"/>
      <c r="I242" s="5"/>
      <c r="J242" s="5"/>
      <c r="K242" s="5"/>
      <c r="L242" s="5"/>
      <c r="M242" s="5"/>
      <c r="N242" s="5"/>
    </row>
    <row r="243" spans="1:14" ht="15.75" x14ac:dyDescent="0.25">
      <c r="A243" s="33" t="s">
        <v>761</v>
      </c>
      <c r="B243" s="34" t="s">
        <v>4</v>
      </c>
      <c r="C243" s="30" t="s">
        <v>1322</v>
      </c>
      <c r="D243" s="32" t="s">
        <v>1324</v>
      </c>
      <c r="E243" s="87"/>
      <c r="F243" s="87"/>
      <c r="G243" s="5"/>
      <c r="H243" s="58"/>
      <c r="I243" s="58"/>
      <c r="J243" s="5"/>
      <c r="K243" s="5"/>
      <c r="L243" s="5"/>
      <c r="M243" s="5"/>
      <c r="N243" s="5"/>
    </row>
    <row r="244" spans="1:14" ht="15.75" x14ac:dyDescent="0.25">
      <c r="A244" s="33" t="s">
        <v>761</v>
      </c>
      <c r="B244" s="34" t="s">
        <v>4</v>
      </c>
      <c r="C244" s="30" t="s">
        <v>1323</v>
      </c>
      <c r="D244" s="32" t="s">
        <v>1325</v>
      </c>
      <c r="E244" s="76"/>
      <c r="F244" s="76"/>
      <c r="G244" s="5"/>
      <c r="H244" s="5"/>
      <c r="I244" s="5"/>
      <c r="J244" s="5"/>
      <c r="K244" s="5"/>
      <c r="L244" s="5"/>
      <c r="M244" s="5"/>
      <c r="N244" s="5"/>
    </row>
    <row r="245" spans="1:14" ht="31.5" x14ac:dyDescent="0.25">
      <c r="A245" s="19" t="s">
        <v>761</v>
      </c>
      <c r="B245" s="19" t="s">
        <v>28</v>
      </c>
      <c r="C245" s="19" t="s">
        <v>764</v>
      </c>
      <c r="D245" s="20" t="s">
        <v>2771</v>
      </c>
      <c r="E245" s="7">
        <f t="shared" ref="E245:J245" si="58">SUM(E246:E291)</f>
        <v>1823.796</v>
      </c>
      <c r="F245" s="7">
        <f t="shared" si="58"/>
        <v>499.32300000000004</v>
      </c>
      <c r="G245" s="7">
        <f t="shared" si="58"/>
        <v>2323.1189999999997</v>
      </c>
      <c r="H245" s="7">
        <f t="shared" si="58"/>
        <v>7774597.2877700003</v>
      </c>
      <c r="I245" s="7">
        <f t="shared" si="58"/>
        <v>6268.0733999999984</v>
      </c>
      <c r="J245" s="7">
        <f t="shared" si="58"/>
        <v>7780865.3611699995</v>
      </c>
      <c r="K245" s="7">
        <f t="shared" ref="K245:K292" si="59">J245/G245</f>
        <v>3349.3184641725202</v>
      </c>
      <c r="L245" s="7">
        <f t="shared" ref="L245:L292" si="60">K245/$K$1659</f>
        <v>0.98744432913976787</v>
      </c>
      <c r="M245" s="7">
        <f>SUM(M246:M291)</f>
        <v>580143.1</v>
      </c>
      <c r="N245" s="7">
        <f>SUM(N246:N291)</f>
        <v>967016.80000000016</v>
      </c>
    </row>
    <row r="246" spans="1:14" ht="15.75" x14ac:dyDescent="0.25">
      <c r="A246" s="33" t="s">
        <v>761</v>
      </c>
      <c r="B246" s="34" t="s">
        <v>986</v>
      </c>
      <c r="C246" s="18" t="s">
        <v>970</v>
      </c>
      <c r="D246" s="32" t="s">
        <v>2937</v>
      </c>
      <c r="E246" s="76">
        <v>41.066000000000003</v>
      </c>
      <c r="F246" s="76">
        <v>22.552</v>
      </c>
      <c r="G246" s="5">
        <f t="shared" ref="G246:G291" si="61">F246+E246</f>
        <v>63.618000000000002</v>
      </c>
      <c r="H246" s="5">
        <v>208770.174</v>
      </c>
      <c r="I246" s="5">
        <f>(1844.118-19199.957)*0.6</f>
        <v>-10413.5034</v>
      </c>
      <c r="J246" s="5">
        <f t="shared" ref="J246:J291" si="62">H246+I246</f>
        <v>198356.67060000001</v>
      </c>
      <c r="K246" s="5">
        <f t="shared" si="59"/>
        <v>3117.9331415637084</v>
      </c>
      <c r="L246" s="5">
        <f t="shared" si="60"/>
        <v>0.91922742856722262</v>
      </c>
      <c r="M246" s="5">
        <f t="shared" ref="M246:M291" si="63">ROUND(IF(L246&lt;110%,0,(K246-$K$1659*1.1)*0.5)*G246,1)</f>
        <v>0</v>
      </c>
      <c r="N246" s="5">
        <f t="shared" ref="N246:N291" si="64">ROUND(IF(L246&gt;90%,0,(-K246+$K$1659*0.9)*0.8)*G246,1)</f>
        <v>0</v>
      </c>
    </row>
    <row r="247" spans="1:14" ht="15.75" x14ac:dyDescent="0.25">
      <c r="A247" s="33" t="s">
        <v>761</v>
      </c>
      <c r="B247" s="34" t="s">
        <v>984</v>
      </c>
      <c r="C247" s="18" t="s">
        <v>67</v>
      </c>
      <c r="D247" s="32" t="s">
        <v>2938</v>
      </c>
      <c r="E247" s="76">
        <v>4.0209999999999999</v>
      </c>
      <c r="F247" s="76">
        <v>7.9000000000000001E-2</v>
      </c>
      <c r="G247" s="5">
        <f t="shared" si="61"/>
        <v>4.0999999999999996</v>
      </c>
      <c r="H247" s="5">
        <v>13593.21</v>
      </c>
      <c r="I247" s="5"/>
      <c r="J247" s="5">
        <f t="shared" si="62"/>
        <v>13593.21</v>
      </c>
      <c r="K247" s="5">
        <f t="shared" si="59"/>
        <v>3315.4170731707318</v>
      </c>
      <c r="L247" s="5">
        <f t="shared" si="60"/>
        <v>0.97744953866142015</v>
      </c>
      <c r="M247" s="5">
        <f t="shared" si="63"/>
        <v>0</v>
      </c>
      <c r="N247" s="5">
        <f t="shared" si="64"/>
        <v>0</v>
      </c>
    </row>
    <row r="248" spans="1:14" ht="15.75" x14ac:dyDescent="0.25">
      <c r="A248" s="33" t="s">
        <v>761</v>
      </c>
      <c r="B248" s="34" t="s">
        <v>985</v>
      </c>
      <c r="C248" s="18" t="s">
        <v>68</v>
      </c>
      <c r="D248" s="32" t="s">
        <v>2933</v>
      </c>
      <c r="E248" s="76">
        <v>8.7029999999999994</v>
      </c>
      <c r="F248" s="76">
        <v>1.2190000000000001</v>
      </c>
      <c r="G248" s="5">
        <f t="shared" si="61"/>
        <v>9.9219999999999988</v>
      </c>
      <c r="H248" s="5">
        <v>14382.565769999999</v>
      </c>
      <c r="I248" s="5"/>
      <c r="J248" s="5">
        <f t="shared" si="62"/>
        <v>14382.565769999999</v>
      </c>
      <c r="K248" s="5">
        <f t="shared" si="59"/>
        <v>1449.5631697238462</v>
      </c>
      <c r="L248" s="5">
        <f t="shared" si="60"/>
        <v>0.42735946043497841</v>
      </c>
      <c r="M248" s="5">
        <f t="shared" si="63"/>
        <v>0</v>
      </c>
      <c r="N248" s="5">
        <f t="shared" si="64"/>
        <v>12725.2</v>
      </c>
    </row>
    <row r="249" spans="1:14" ht="31.5" x14ac:dyDescent="0.25">
      <c r="A249" s="33" t="s">
        <v>761</v>
      </c>
      <c r="B249" s="34" t="s">
        <v>983</v>
      </c>
      <c r="C249" s="18" t="s">
        <v>742</v>
      </c>
      <c r="D249" s="32" t="s">
        <v>2092</v>
      </c>
      <c r="E249" s="76">
        <v>20.943000000000001</v>
      </c>
      <c r="F249" s="76">
        <v>2.5110000000000001</v>
      </c>
      <c r="G249" s="5">
        <f t="shared" si="61"/>
        <v>23.454000000000001</v>
      </c>
      <c r="H249" s="5">
        <v>101966.03</v>
      </c>
      <c r="I249" s="5">
        <f>(457.955)*0.6</f>
        <v>274.77299999999997</v>
      </c>
      <c r="J249" s="5">
        <f t="shared" si="62"/>
        <v>102240.803</v>
      </c>
      <c r="K249" s="5">
        <f t="shared" si="59"/>
        <v>4359.2053807452885</v>
      </c>
      <c r="L249" s="5">
        <f t="shared" si="60"/>
        <v>1.2851786650977537</v>
      </c>
      <c r="M249" s="5">
        <f t="shared" si="63"/>
        <v>7365.8</v>
      </c>
      <c r="N249" s="5">
        <f t="shared" si="64"/>
        <v>0</v>
      </c>
    </row>
    <row r="250" spans="1:14" ht="15.75" x14ac:dyDescent="0.25">
      <c r="A250" s="33" t="s">
        <v>761</v>
      </c>
      <c r="B250" s="34" t="s">
        <v>983</v>
      </c>
      <c r="C250" s="18" t="s">
        <v>743</v>
      </c>
      <c r="D250" s="32" t="s">
        <v>2939</v>
      </c>
      <c r="E250" s="76">
        <v>19.753</v>
      </c>
      <c r="F250" s="76">
        <v>1.534</v>
      </c>
      <c r="G250" s="5">
        <f t="shared" si="61"/>
        <v>21.286999999999999</v>
      </c>
      <c r="H250" s="5">
        <v>96572.593999999997</v>
      </c>
      <c r="I250" s="5">
        <f>(-212.61-89.3-798.43)*0.6</f>
        <v>-660.20399999999995</v>
      </c>
      <c r="J250" s="5">
        <f t="shared" si="62"/>
        <v>95912.39</v>
      </c>
      <c r="K250" s="5">
        <f t="shared" si="59"/>
        <v>4505.6790529431109</v>
      </c>
      <c r="L250" s="5">
        <f t="shared" si="60"/>
        <v>1.328361957020324</v>
      </c>
      <c r="M250" s="5">
        <f t="shared" si="63"/>
        <v>8244.2999999999993</v>
      </c>
      <c r="N250" s="5">
        <f t="shared" si="64"/>
        <v>0</v>
      </c>
    </row>
    <row r="251" spans="1:14" ht="15.75" x14ac:dyDescent="0.25">
      <c r="A251" s="33" t="s">
        <v>761</v>
      </c>
      <c r="B251" s="34" t="s">
        <v>984</v>
      </c>
      <c r="C251" s="18" t="s">
        <v>744</v>
      </c>
      <c r="D251" s="32" t="s">
        <v>2940</v>
      </c>
      <c r="E251" s="76">
        <v>8.8970000000000002</v>
      </c>
      <c r="F251" s="76">
        <v>2.2930000000000001</v>
      </c>
      <c r="G251" s="5">
        <f t="shared" si="61"/>
        <v>11.190000000000001</v>
      </c>
      <c r="H251" s="5">
        <v>54624.735000000001</v>
      </c>
      <c r="I251" s="5">
        <f>(707.44542)*0.6</f>
        <v>424.46725199999997</v>
      </c>
      <c r="J251" s="5">
        <f t="shared" si="62"/>
        <v>55049.202252000003</v>
      </c>
      <c r="K251" s="5">
        <f t="shared" si="59"/>
        <v>4919.4997544235921</v>
      </c>
      <c r="L251" s="5">
        <f t="shared" si="60"/>
        <v>1.4503643611895842</v>
      </c>
      <c r="M251" s="5">
        <f t="shared" si="63"/>
        <v>6649.1</v>
      </c>
      <c r="N251" s="5">
        <f t="shared" si="64"/>
        <v>0</v>
      </c>
    </row>
    <row r="252" spans="1:14" ht="15.75" x14ac:dyDescent="0.25">
      <c r="A252" s="33" t="s">
        <v>761</v>
      </c>
      <c r="B252" s="34" t="s">
        <v>983</v>
      </c>
      <c r="C252" s="18" t="s">
        <v>745</v>
      </c>
      <c r="D252" s="32" t="s">
        <v>2941</v>
      </c>
      <c r="E252" s="76">
        <v>13.244</v>
      </c>
      <c r="F252" s="76">
        <v>1.0760000000000001</v>
      </c>
      <c r="G252" s="5">
        <f t="shared" si="61"/>
        <v>14.32</v>
      </c>
      <c r="H252" s="5">
        <v>11533.645</v>
      </c>
      <c r="I252" s="5"/>
      <c r="J252" s="5">
        <f t="shared" si="62"/>
        <v>11533.645</v>
      </c>
      <c r="K252" s="5">
        <f t="shared" si="59"/>
        <v>805.42213687150843</v>
      </c>
      <c r="L252" s="5">
        <f t="shared" si="60"/>
        <v>0.23745413585623112</v>
      </c>
      <c r="M252" s="5">
        <f t="shared" si="63"/>
        <v>0</v>
      </c>
      <c r="N252" s="5">
        <f t="shared" si="64"/>
        <v>25745</v>
      </c>
    </row>
    <row r="253" spans="1:14" ht="15.75" x14ac:dyDescent="0.25">
      <c r="A253" s="33" t="s">
        <v>761</v>
      </c>
      <c r="B253" s="34" t="s">
        <v>984</v>
      </c>
      <c r="C253" s="18" t="s">
        <v>746</v>
      </c>
      <c r="D253" s="32" t="s">
        <v>2942</v>
      </c>
      <c r="E253" s="76">
        <v>2.4180000000000001</v>
      </c>
      <c r="F253" s="76">
        <v>0.16800000000000001</v>
      </c>
      <c r="G253" s="5">
        <f t="shared" si="61"/>
        <v>2.5860000000000003</v>
      </c>
      <c r="H253" s="5">
        <v>3886.8649999999998</v>
      </c>
      <c r="I253" s="5"/>
      <c r="J253" s="5">
        <f t="shared" si="62"/>
        <v>3886.8649999999998</v>
      </c>
      <c r="K253" s="5">
        <f t="shared" si="59"/>
        <v>1503.0413766434644</v>
      </c>
      <c r="L253" s="5">
        <f t="shared" si="60"/>
        <v>0.44312587760916211</v>
      </c>
      <c r="M253" s="5">
        <f t="shared" si="63"/>
        <v>0</v>
      </c>
      <c r="N253" s="5">
        <f t="shared" si="64"/>
        <v>3206</v>
      </c>
    </row>
    <row r="254" spans="1:14" ht="31.5" x14ac:dyDescent="0.25">
      <c r="A254" s="33" t="s">
        <v>761</v>
      </c>
      <c r="B254" s="34" t="s">
        <v>984</v>
      </c>
      <c r="C254" s="18" t="s">
        <v>747</v>
      </c>
      <c r="D254" s="32" t="s">
        <v>2943</v>
      </c>
      <c r="E254" s="76">
        <v>2.23</v>
      </c>
      <c r="F254" s="76">
        <v>0.83699999999999997</v>
      </c>
      <c r="G254" s="5">
        <f t="shared" si="61"/>
        <v>3.0670000000000002</v>
      </c>
      <c r="H254" s="5">
        <v>13937.861999999999</v>
      </c>
      <c r="I254" s="5"/>
      <c r="J254" s="5">
        <f t="shared" si="62"/>
        <v>13937.861999999999</v>
      </c>
      <c r="K254" s="5">
        <f t="shared" si="59"/>
        <v>4544.4610368438207</v>
      </c>
      <c r="L254" s="5">
        <f t="shared" si="60"/>
        <v>1.3397956413609402</v>
      </c>
      <c r="M254" s="5">
        <f t="shared" si="63"/>
        <v>1247.3</v>
      </c>
      <c r="N254" s="5">
        <f t="shared" si="64"/>
        <v>0</v>
      </c>
    </row>
    <row r="255" spans="1:14" ht="31.5" x14ac:dyDescent="0.25">
      <c r="A255" s="35" t="s">
        <v>761</v>
      </c>
      <c r="B255" s="34" t="s">
        <v>985</v>
      </c>
      <c r="C255" s="30" t="s">
        <v>735</v>
      </c>
      <c r="D255" s="32" t="s">
        <v>1334</v>
      </c>
      <c r="E255" s="76">
        <v>12.32</v>
      </c>
      <c r="F255" s="76">
        <v>2.6139999999999999</v>
      </c>
      <c r="G255" s="5">
        <f t="shared" si="61"/>
        <v>14.934000000000001</v>
      </c>
      <c r="H255" s="5">
        <v>27618.760999999999</v>
      </c>
      <c r="I255" s="5">
        <f>(1004.679)*0.6</f>
        <v>602.80739999999992</v>
      </c>
      <c r="J255" s="5">
        <f t="shared" si="62"/>
        <v>28221.5684</v>
      </c>
      <c r="K255" s="5">
        <f t="shared" si="59"/>
        <v>1889.7528056783178</v>
      </c>
      <c r="L255" s="5">
        <f t="shared" si="60"/>
        <v>0.55713594016328916</v>
      </c>
      <c r="M255" s="5">
        <f t="shared" si="63"/>
        <v>0</v>
      </c>
      <c r="N255" s="5">
        <f t="shared" si="64"/>
        <v>13894.1</v>
      </c>
    </row>
    <row r="256" spans="1:14" ht="15.75" x14ac:dyDescent="0.25">
      <c r="A256" s="35" t="s">
        <v>761</v>
      </c>
      <c r="B256" s="34" t="s">
        <v>986</v>
      </c>
      <c r="C256" s="30" t="s">
        <v>975</v>
      </c>
      <c r="D256" s="32" t="s">
        <v>2944</v>
      </c>
      <c r="E256" s="76">
        <v>80.376999999999995</v>
      </c>
      <c r="F256" s="76">
        <v>20.788</v>
      </c>
      <c r="G256" s="5">
        <f t="shared" si="61"/>
        <v>101.16499999999999</v>
      </c>
      <c r="H256" s="5">
        <v>316998.01400000002</v>
      </c>
      <c r="I256" s="5">
        <f>(-212.725-947.529-34.37+212.61+89.3+798.43-408.05-220.711-167.616+1100+3979.922+52579.8)*0.6</f>
        <v>34061.436600000001</v>
      </c>
      <c r="J256" s="5">
        <f t="shared" si="62"/>
        <v>351059.45060000004</v>
      </c>
      <c r="K256" s="5">
        <f t="shared" si="59"/>
        <v>3470.1670597538682</v>
      </c>
      <c r="L256" s="5">
        <f t="shared" si="60"/>
        <v>1.0230728492902963</v>
      </c>
      <c r="M256" s="5">
        <f t="shared" si="63"/>
        <v>0</v>
      </c>
      <c r="N256" s="5">
        <f t="shared" si="64"/>
        <v>0</v>
      </c>
    </row>
    <row r="257" spans="1:14" ht="31.5" x14ac:dyDescent="0.25">
      <c r="A257" s="35" t="s">
        <v>761</v>
      </c>
      <c r="B257" s="34" t="s">
        <v>986</v>
      </c>
      <c r="C257" s="30" t="s">
        <v>1036</v>
      </c>
      <c r="D257" s="32" t="s">
        <v>2945</v>
      </c>
      <c r="E257" s="76">
        <v>25.98</v>
      </c>
      <c r="F257" s="76">
        <v>11.678000000000001</v>
      </c>
      <c r="G257" s="5">
        <f t="shared" si="61"/>
        <v>37.658000000000001</v>
      </c>
      <c r="H257" s="5">
        <v>126274.60400000001</v>
      </c>
      <c r="I257" s="5">
        <f>(714.187)*0.6</f>
        <v>428.51220000000001</v>
      </c>
      <c r="J257" s="5">
        <f t="shared" si="62"/>
        <v>126703.1162</v>
      </c>
      <c r="K257" s="5">
        <f t="shared" si="59"/>
        <v>3364.5736948324393</v>
      </c>
      <c r="L257" s="5">
        <f t="shared" si="60"/>
        <v>0.99194186831557096</v>
      </c>
      <c r="M257" s="5">
        <f t="shared" si="63"/>
        <v>0</v>
      </c>
      <c r="N257" s="5">
        <f t="shared" si="64"/>
        <v>0</v>
      </c>
    </row>
    <row r="258" spans="1:14" ht="31.5" x14ac:dyDescent="0.25">
      <c r="A258" s="35" t="s">
        <v>761</v>
      </c>
      <c r="B258" s="34" t="s">
        <v>984</v>
      </c>
      <c r="C258" s="30" t="s">
        <v>1037</v>
      </c>
      <c r="D258" s="32" t="s">
        <v>2946</v>
      </c>
      <c r="E258" s="76">
        <v>4.0110000000000001</v>
      </c>
      <c r="F258" s="76">
        <v>0.12</v>
      </c>
      <c r="G258" s="5">
        <f t="shared" si="61"/>
        <v>4.1310000000000002</v>
      </c>
      <c r="H258" s="5">
        <v>11924.905000000001</v>
      </c>
      <c r="I258" s="5"/>
      <c r="J258" s="5">
        <f t="shared" si="62"/>
        <v>11924.905000000001</v>
      </c>
      <c r="K258" s="5">
        <f t="shared" si="59"/>
        <v>2886.687242798354</v>
      </c>
      <c r="L258" s="5">
        <f t="shared" si="60"/>
        <v>0.85105163285975405</v>
      </c>
      <c r="M258" s="5">
        <f t="shared" si="63"/>
        <v>0</v>
      </c>
      <c r="N258" s="5">
        <f t="shared" si="64"/>
        <v>548.70000000000005</v>
      </c>
    </row>
    <row r="259" spans="1:14" ht="15.75" x14ac:dyDescent="0.25">
      <c r="A259" s="35" t="s">
        <v>761</v>
      </c>
      <c r="B259" s="34" t="s">
        <v>986</v>
      </c>
      <c r="C259" s="30" t="s">
        <v>1338</v>
      </c>
      <c r="D259" s="32" t="s">
        <v>1339</v>
      </c>
      <c r="E259" s="76">
        <v>32.579000000000001</v>
      </c>
      <c r="F259" s="76">
        <v>5.2610000000000001</v>
      </c>
      <c r="G259" s="5">
        <f t="shared" si="61"/>
        <v>37.840000000000003</v>
      </c>
      <c r="H259" s="5">
        <v>127909.53599999999</v>
      </c>
      <c r="I259" s="5">
        <f>(1177.785)*0.6</f>
        <v>706.67100000000005</v>
      </c>
      <c r="J259" s="5">
        <f t="shared" si="62"/>
        <v>128616.20699999999</v>
      </c>
      <c r="K259" s="5">
        <f t="shared" si="59"/>
        <v>3398.9483879492595</v>
      </c>
      <c r="L259" s="5">
        <f t="shared" si="60"/>
        <v>1.0020761974775219</v>
      </c>
      <c r="M259" s="5">
        <f t="shared" si="63"/>
        <v>0</v>
      </c>
      <c r="N259" s="5">
        <f t="shared" si="64"/>
        <v>0</v>
      </c>
    </row>
    <row r="260" spans="1:14" ht="15.75" x14ac:dyDescent="0.25">
      <c r="A260" s="35" t="s">
        <v>761</v>
      </c>
      <c r="B260" s="34" t="s">
        <v>983</v>
      </c>
      <c r="C260" s="30" t="s">
        <v>1340</v>
      </c>
      <c r="D260" s="32" t="s">
        <v>1341</v>
      </c>
      <c r="E260" s="76">
        <v>15.738</v>
      </c>
      <c r="F260" s="76">
        <v>1.2749999999999999</v>
      </c>
      <c r="G260" s="5">
        <f t="shared" si="61"/>
        <v>17.012999999999998</v>
      </c>
      <c r="H260" s="5">
        <v>60118.443999999996</v>
      </c>
      <c r="I260" s="5">
        <f>(-43111.692)*0.6</f>
        <v>-25867.015200000002</v>
      </c>
      <c r="J260" s="5">
        <f t="shared" si="62"/>
        <v>34251.428799999994</v>
      </c>
      <c r="K260" s="5">
        <f t="shared" si="59"/>
        <v>2013.2503849997061</v>
      </c>
      <c r="L260" s="5">
        <f t="shared" si="60"/>
        <v>0.59354543232351631</v>
      </c>
      <c r="M260" s="5">
        <f t="shared" si="63"/>
        <v>0</v>
      </c>
      <c r="N260" s="5">
        <f t="shared" si="64"/>
        <v>14147.5</v>
      </c>
    </row>
    <row r="261" spans="1:14" ht="31.5" x14ac:dyDescent="0.25">
      <c r="A261" s="35" t="s">
        <v>761</v>
      </c>
      <c r="B261" s="34" t="s">
        <v>985</v>
      </c>
      <c r="C261" s="30" t="s">
        <v>1342</v>
      </c>
      <c r="D261" s="32" t="s">
        <v>1343</v>
      </c>
      <c r="E261" s="76">
        <v>18.71</v>
      </c>
      <c r="F261" s="76">
        <v>8.4480000000000004</v>
      </c>
      <c r="G261" s="5">
        <f t="shared" si="61"/>
        <v>27.158000000000001</v>
      </c>
      <c r="H261" s="5">
        <v>55076.637999999999</v>
      </c>
      <c r="I261" s="5">
        <f>(1362.33-4517.765-160.821-2883.127-147.419-2427.364)*0.6</f>
        <v>-5264.4995999999992</v>
      </c>
      <c r="J261" s="5">
        <f t="shared" si="62"/>
        <v>49812.138399999996</v>
      </c>
      <c r="K261" s="5">
        <f t="shared" si="59"/>
        <v>1834.160777671404</v>
      </c>
      <c r="L261" s="5">
        <f t="shared" si="60"/>
        <v>0.54074632735459249</v>
      </c>
      <c r="M261" s="5">
        <f t="shared" si="63"/>
        <v>0</v>
      </c>
      <c r="N261" s="5">
        <f t="shared" si="64"/>
        <v>26474.799999999999</v>
      </c>
    </row>
    <row r="262" spans="1:14" ht="15.75" x14ac:dyDescent="0.25">
      <c r="A262" s="35" t="s">
        <v>761</v>
      </c>
      <c r="B262" s="34" t="s">
        <v>983</v>
      </c>
      <c r="C262" s="30" t="s">
        <v>1344</v>
      </c>
      <c r="D262" s="32" t="s">
        <v>1345</v>
      </c>
      <c r="E262" s="76">
        <v>36.134</v>
      </c>
      <c r="F262" s="76">
        <v>35.267000000000003</v>
      </c>
      <c r="G262" s="5">
        <f t="shared" si="61"/>
        <v>71.40100000000001</v>
      </c>
      <c r="H262" s="5">
        <v>143610.492</v>
      </c>
      <c r="I262" s="5">
        <f>(1830.288+20.4)*0.6</f>
        <v>1110.4128000000001</v>
      </c>
      <c r="J262" s="5">
        <f t="shared" si="62"/>
        <v>144720.90479999999</v>
      </c>
      <c r="K262" s="5">
        <f t="shared" si="59"/>
        <v>2026.8750409658123</v>
      </c>
      <c r="L262" s="5">
        <f t="shared" si="60"/>
        <v>0.59756224631541477</v>
      </c>
      <c r="M262" s="5">
        <f t="shared" si="63"/>
        <v>0</v>
      </c>
      <c r="N262" s="5">
        <f t="shared" si="64"/>
        <v>58596.800000000003</v>
      </c>
    </row>
    <row r="263" spans="1:14" ht="31.5" x14ac:dyDescent="0.25">
      <c r="A263" s="35" t="s">
        <v>761</v>
      </c>
      <c r="B263" s="34" t="s">
        <v>985</v>
      </c>
      <c r="C263" s="30" t="s">
        <v>1346</v>
      </c>
      <c r="D263" s="32" t="s">
        <v>1347</v>
      </c>
      <c r="E263" s="76">
        <v>9.5180000000000007</v>
      </c>
      <c r="F263" s="76">
        <v>1.681</v>
      </c>
      <c r="G263" s="5">
        <f t="shared" si="61"/>
        <v>11.199000000000002</v>
      </c>
      <c r="H263" s="5">
        <v>17954.947</v>
      </c>
      <c r="I263" s="5"/>
      <c r="J263" s="5">
        <f t="shared" si="62"/>
        <v>17954.947</v>
      </c>
      <c r="K263" s="5">
        <f t="shared" si="59"/>
        <v>1603.2634163764619</v>
      </c>
      <c r="L263" s="5">
        <f t="shared" si="60"/>
        <v>0.47267328728303398</v>
      </c>
      <c r="M263" s="5">
        <f t="shared" si="63"/>
        <v>0</v>
      </c>
      <c r="N263" s="5">
        <f t="shared" si="64"/>
        <v>12985.9</v>
      </c>
    </row>
    <row r="264" spans="1:14" ht="31.5" x14ac:dyDescent="0.25">
      <c r="A264" s="35" t="s">
        <v>761</v>
      </c>
      <c r="B264" s="34" t="s">
        <v>986</v>
      </c>
      <c r="C264" s="30" t="s">
        <v>1348</v>
      </c>
      <c r="D264" s="32" t="s">
        <v>1349</v>
      </c>
      <c r="E264" s="76">
        <v>43.826999999999998</v>
      </c>
      <c r="F264" s="76">
        <v>6.1760000000000002</v>
      </c>
      <c r="G264" s="5">
        <f t="shared" si="61"/>
        <v>50.003</v>
      </c>
      <c r="H264" s="5">
        <v>175340.36600000001</v>
      </c>
      <c r="I264" s="5">
        <f>(2744.354+1768.023)*0.6</f>
        <v>2707.4261999999994</v>
      </c>
      <c r="J264" s="5">
        <f t="shared" si="62"/>
        <v>178047.7922</v>
      </c>
      <c r="K264" s="5">
        <f t="shared" si="59"/>
        <v>3560.7421994680317</v>
      </c>
      <c r="L264" s="5">
        <f t="shared" si="60"/>
        <v>1.0497761649136106</v>
      </c>
      <c r="M264" s="5">
        <f t="shared" si="63"/>
        <v>0</v>
      </c>
      <c r="N264" s="5">
        <f t="shared" si="64"/>
        <v>0</v>
      </c>
    </row>
    <row r="265" spans="1:14" s="13" customFormat="1" ht="15.75" x14ac:dyDescent="0.25">
      <c r="A265" s="35" t="s">
        <v>761</v>
      </c>
      <c r="B265" s="34" t="s">
        <v>986</v>
      </c>
      <c r="C265" s="30" t="s">
        <v>1350</v>
      </c>
      <c r="D265" s="32" t="s">
        <v>1351</v>
      </c>
      <c r="E265" s="76">
        <v>66.822999999999993</v>
      </c>
      <c r="F265" s="76">
        <v>11.512</v>
      </c>
      <c r="G265" s="5">
        <f t="shared" si="61"/>
        <v>78.334999999999994</v>
      </c>
      <c r="H265" s="5">
        <v>174753.50100000002</v>
      </c>
      <c r="I265" s="5">
        <f>(1993.454)*0.6</f>
        <v>1196.0724</v>
      </c>
      <c r="J265" s="5">
        <f t="shared" si="62"/>
        <v>175949.57340000002</v>
      </c>
      <c r="K265" s="5">
        <f t="shared" si="59"/>
        <v>2246.1169770855945</v>
      </c>
      <c r="L265" s="5">
        <f t="shared" si="60"/>
        <v>0.66219903999355423</v>
      </c>
      <c r="M265" s="5">
        <f t="shared" si="63"/>
        <v>0</v>
      </c>
      <c r="N265" s="5">
        <f t="shared" si="64"/>
        <v>50547.9</v>
      </c>
    </row>
    <row r="266" spans="1:14" s="13" customFormat="1" ht="31.5" x14ac:dyDescent="0.25">
      <c r="A266" s="35" t="s">
        <v>761</v>
      </c>
      <c r="B266" s="34" t="s">
        <v>984</v>
      </c>
      <c r="C266" s="30" t="s">
        <v>1352</v>
      </c>
      <c r="D266" s="32" t="s">
        <v>1353</v>
      </c>
      <c r="E266" s="76">
        <v>9.8940000000000001</v>
      </c>
      <c r="F266" s="76">
        <v>2.5070000000000001</v>
      </c>
      <c r="G266" s="5">
        <f t="shared" si="61"/>
        <v>12.401</v>
      </c>
      <c r="H266" s="5">
        <v>15769.153</v>
      </c>
      <c r="I266" s="5"/>
      <c r="J266" s="5">
        <f t="shared" si="62"/>
        <v>15769.153</v>
      </c>
      <c r="K266" s="5">
        <f t="shared" si="59"/>
        <v>1271.6033384404484</v>
      </c>
      <c r="L266" s="5">
        <f t="shared" si="60"/>
        <v>0.37489343545252707</v>
      </c>
      <c r="M266" s="5">
        <f t="shared" si="63"/>
        <v>0</v>
      </c>
      <c r="N266" s="5">
        <f t="shared" si="64"/>
        <v>17670.099999999999</v>
      </c>
    </row>
    <row r="267" spans="1:14" s="13" customFormat="1" ht="15.75" x14ac:dyDescent="0.25">
      <c r="A267" s="35" t="s">
        <v>761</v>
      </c>
      <c r="B267" s="34" t="s">
        <v>984</v>
      </c>
      <c r="C267" s="30" t="s">
        <v>1354</v>
      </c>
      <c r="D267" s="32" t="s">
        <v>1355</v>
      </c>
      <c r="E267" s="76">
        <v>6.9480000000000004</v>
      </c>
      <c r="F267" s="76">
        <v>1.8340000000000001</v>
      </c>
      <c r="G267" s="5">
        <f t="shared" si="61"/>
        <v>8.782</v>
      </c>
      <c r="H267" s="5">
        <v>10825.382</v>
      </c>
      <c r="I267" s="5">
        <f>(2883.127+147.419)*0.6</f>
        <v>1818.3275999999998</v>
      </c>
      <c r="J267" s="5">
        <f t="shared" si="62"/>
        <v>12643.7096</v>
      </c>
      <c r="K267" s="5">
        <f t="shared" si="59"/>
        <v>1439.7300842632658</v>
      </c>
      <c r="L267" s="5">
        <f t="shared" si="60"/>
        <v>0.42446047528923603</v>
      </c>
      <c r="M267" s="5">
        <f t="shared" si="63"/>
        <v>0</v>
      </c>
      <c r="N267" s="5">
        <f t="shared" si="64"/>
        <v>11332.2</v>
      </c>
    </row>
    <row r="268" spans="1:14" s="13" customFormat="1" ht="31.5" x14ac:dyDescent="0.25">
      <c r="A268" s="35" t="s">
        <v>761</v>
      </c>
      <c r="B268" s="34" t="s">
        <v>986</v>
      </c>
      <c r="C268" s="30" t="s">
        <v>1356</v>
      </c>
      <c r="D268" s="32" t="s">
        <v>1357</v>
      </c>
      <c r="E268" s="76">
        <v>73.978999999999999</v>
      </c>
      <c r="F268" s="76">
        <v>23.614999999999998</v>
      </c>
      <c r="G268" s="5">
        <f t="shared" si="61"/>
        <v>97.593999999999994</v>
      </c>
      <c r="H268" s="5">
        <v>183293.533</v>
      </c>
      <c r="I268" s="5">
        <f>(-1100-96.1-100.4)*0.6</f>
        <v>-777.9</v>
      </c>
      <c r="J268" s="5">
        <f t="shared" si="62"/>
        <v>182515.633</v>
      </c>
      <c r="K268" s="5">
        <f t="shared" si="59"/>
        <v>1870.1521917330986</v>
      </c>
      <c r="L268" s="5">
        <f t="shared" si="60"/>
        <v>0.55135729734538497</v>
      </c>
      <c r="M268" s="5">
        <f t="shared" si="63"/>
        <v>0</v>
      </c>
      <c r="N268" s="5">
        <f t="shared" si="64"/>
        <v>92328.9</v>
      </c>
    </row>
    <row r="269" spans="1:14" s="13" customFormat="1" ht="31.5" x14ac:dyDescent="0.25">
      <c r="A269" s="35" t="s">
        <v>761</v>
      </c>
      <c r="B269" s="34" t="s">
        <v>986</v>
      </c>
      <c r="C269" s="30" t="s">
        <v>1358</v>
      </c>
      <c r="D269" s="32" t="s">
        <v>1359</v>
      </c>
      <c r="E269" s="76">
        <v>183.946</v>
      </c>
      <c r="F269" s="76">
        <v>46.752000000000002</v>
      </c>
      <c r="G269" s="5">
        <f t="shared" si="61"/>
        <v>230.69800000000001</v>
      </c>
      <c r="H269" s="5">
        <v>857766.99</v>
      </c>
      <c r="I269" s="5">
        <f>(5491.322+19199.957+1343.233+16.8+209.4)*0.6</f>
        <v>15756.427199999998</v>
      </c>
      <c r="J269" s="5">
        <f t="shared" si="62"/>
        <v>873523.41720000003</v>
      </c>
      <c r="K269" s="5">
        <f t="shared" si="59"/>
        <v>3786.4368880527791</v>
      </c>
      <c r="L269" s="5">
        <f t="shared" si="60"/>
        <v>1.1163153557203094</v>
      </c>
      <c r="M269" s="5">
        <f t="shared" si="63"/>
        <v>6383.4</v>
      </c>
      <c r="N269" s="5">
        <f t="shared" si="64"/>
        <v>0</v>
      </c>
    </row>
    <row r="270" spans="1:14" s="13" customFormat="1" ht="15.75" x14ac:dyDescent="0.25">
      <c r="A270" s="35" t="s">
        <v>761</v>
      </c>
      <c r="B270" s="34" t="s">
        <v>983</v>
      </c>
      <c r="C270" s="30" t="s">
        <v>1360</v>
      </c>
      <c r="D270" s="32" t="s">
        <v>1361</v>
      </c>
      <c r="E270" s="76">
        <v>38.776000000000003</v>
      </c>
      <c r="F270" s="76">
        <v>16.707000000000001</v>
      </c>
      <c r="G270" s="5">
        <f t="shared" si="61"/>
        <v>55.483000000000004</v>
      </c>
      <c r="H270" s="5">
        <v>107108.216</v>
      </c>
      <c r="I270" s="5">
        <f>(1678.809)*0.6</f>
        <v>1007.2854</v>
      </c>
      <c r="J270" s="5">
        <f t="shared" si="62"/>
        <v>108115.50139999999</v>
      </c>
      <c r="K270" s="5">
        <f t="shared" si="59"/>
        <v>1948.6239280500331</v>
      </c>
      <c r="L270" s="5">
        <f t="shared" si="60"/>
        <v>0.57449229386864087</v>
      </c>
      <c r="M270" s="5">
        <f t="shared" si="63"/>
        <v>0</v>
      </c>
      <c r="N270" s="5">
        <f t="shared" si="64"/>
        <v>49006.7</v>
      </c>
    </row>
    <row r="271" spans="1:14" s="13" customFormat="1" ht="31.5" x14ac:dyDescent="0.25">
      <c r="A271" s="35" t="s">
        <v>761</v>
      </c>
      <c r="B271" s="34" t="s">
        <v>985</v>
      </c>
      <c r="C271" s="30" t="s">
        <v>1362</v>
      </c>
      <c r="D271" s="32" t="s">
        <v>1363</v>
      </c>
      <c r="E271" s="76">
        <v>21.306999999999999</v>
      </c>
      <c r="F271" s="76">
        <v>14.036</v>
      </c>
      <c r="G271" s="5">
        <f t="shared" si="61"/>
        <v>35.342999999999996</v>
      </c>
      <c r="H271" s="5">
        <v>55024.750999999997</v>
      </c>
      <c r="I271" s="5">
        <f>(950.99)*0.6</f>
        <v>570.59399999999994</v>
      </c>
      <c r="J271" s="5">
        <f t="shared" si="62"/>
        <v>55595.344999999994</v>
      </c>
      <c r="K271" s="5">
        <f t="shared" si="59"/>
        <v>1573.0228050816286</v>
      </c>
      <c r="L271" s="5">
        <f t="shared" si="60"/>
        <v>0.46375776597557283</v>
      </c>
      <c r="M271" s="5">
        <f t="shared" si="63"/>
        <v>0</v>
      </c>
      <c r="N271" s="5">
        <f t="shared" si="64"/>
        <v>41837.4</v>
      </c>
    </row>
    <row r="272" spans="1:14" s="13" customFormat="1" ht="15.75" x14ac:dyDescent="0.25">
      <c r="A272" s="35" t="s">
        <v>761</v>
      </c>
      <c r="B272" s="34" t="s">
        <v>983</v>
      </c>
      <c r="C272" s="30" t="s">
        <v>1364</v>
      </c>
      <c r="D272" s="32" t="s">
        <v>1365</v>
      </c>
      <c r="E272" s="76">
        <v>33.643000000000001</v>
      </c>
      <c r="F272" s="76">
        <v>6.1619999999999999</v>
      </c>
      <c r="G272" s="5">
        <f t="shared" si="61"/>
        <v>39.805</v>
      </c>
      <c r="H272" s="5">
        <v>58602.642999999996</v>
      </c>
      <c r="I272" s="5"/>
      <c r="J272" s="5">
        <f t="shared" si="62"/>
        <v>58602.642999999996</v>
      </c>
      <c r="K272" s="5">
        <f t="shared" si="59"/>
        <v>1472.2432608968722</v>
      </c>
      <c r="L272" s="5">
        <f t="shared" si="60"/>
        <v>0.43404599312893966</v>
      </c>
      <c r="M272" s="5">
        <f t="shared" si="63"/>
        <v>0</v>
      </c>
      <c r="N272" s="5">
        <f t="shared" si="64"/>
        <v>50328.6</v>
      </c>
    </row>
    <row r="273" spans="1:14" s="13" customFormat="1" ht="31.5" x14ac:dyDescent="0.25">
      <c r="A273" s="35" t="s">
        <v>761</v>
      </c>
      <c r="B273" s="34" t="s">
        <v>986</v>
      </c>
      <c r="C273" s="30" t="s">
        <v>1366</v>
      </c>
      <c r="D273" s="32" t="s">
        <v>2826</v>
      </c>
      <c r="E273" s="76">
        <v>441.48899999999998</v>
      </c>
      <c r="F273" s="76">
        <v>95.825000000000003</v>
      </c>
      <c r="G273" s="5">
        <f t="shared" si="61"/>
        <v>537.31399999999996</v>
      </c>
      <c r="H273" s="5">
        <v>2868162.7479999997</v>
      </c>
      <c r="I273" s="5">
        <f>(11735.689+334.135+8.751+1.65-241.137-32.97-31.37-36.161-453.107-142.647-34.056+87.4+29.5)*0.6</f>
        <v>6735.4061999999985</v>
      </c>
      <c r="J273" s="5">
        <f t="shared" si="62"/>
        <v>2874898.1541999998</v>
      </c>
      <c r="K273" s="5">
        <f t="shared" si="59"/>
        <v>5350.4992503452359</v>
      </c>
      <c r="L273" s="5">
        <f t="shared" si="60"/>
        <v>1.5774314086090573</v>
      </c>
      <c r="M273" s="5">
        <f t="shared" si="63"/>
        <v>435063.8</v>
      </c>
      <c r="N273" s="5">
        <f t="shared" si="64"/>
        <v>0</v>
      </c>
    </row>
    <row r="274" spans="1:14" s="13" customFormat="1" ht="31.5" x14ac:dyDescent="0.25">
      <c r="A274" s="35" t="s">
        <v>761</v>
      </c>
      <c r="B274" s="34" t="s">
        <v>985</v>
      </c>
      <c r="C274" s="30" t="s">
        <v>1367</v>
      </c>
      <c r="D274" s="32" t="s">
        <v>1368</v>
      </c>
      <c r="E274" s="76">
        <v>11.845000000000001</v>
      </c>
      <c r="F274" s="76">
        <v>1.1000000000000001</v>
      </c>
      <c r="G274" s="5">
        <f t="shared" si="61"/>
        <v>12.945</v>
      </c>
      <c r="H274" s="5">
        <v>11330.159</v>
      </c>
      <c r="I274" s="5"/>
      <c r="J274" s="5">
        <f t="shared" si="62"/>
        <v>11330.159</v>
      </c>
      <c r="K274" s="5">
        <f t="shared" si="59"/>
        <v>875.25368868288911</v>
      </c>
      <c r="L274" s="5">
        <f t="shared" si="60"/>
        <v>0.25804183767341671</v>
      </c>
      <c r="M274" s="5">
        <f t="shared" si="63"/>
        <v>0</v>
      </c>
      <c r="N274" s="5">
        <f t="shared" si="64"/>
        <v>22549.8</v>
      </c>
    </row>
    <row r="275" spans="1:14" s="13" customFormat="1" ht="31.5" x14ac:dyDescent="0.25">
      <c r="A275" s="35" t="s">
        <v>761</v>
      </c>
      <c r="B275" s="34" t="s">
        <v>986</v>
      </c>
      <c r="C275" s="30" t="s">
        <v>1369</v>
      </c>
      <c r="D275" s="32" t="s">
        <v>1370</v>
      </c>
      <c r="E275" s="76">
        <v>48.893999999999998</v>
      </c>
      <c r="F275" s="76">
        <v>16.565999999999999</v>
      </c>
      <c r="G275" s="5">
        <f t="shared" si="61"/>
        <v>65.459999999999994</v>
      </c>
      <c r="H275" s="5">
        <v>193740.079</v>
      </c>
      <c r="I275" s="5">
        <f>(1807.136-1768.023-2705.423-2321.888-1177.785)*0.6</f>
        <v>-3699.5897999999993</v>
      </c>
      <c r="J275" s="5">
        <f t="shared" si="62"/>
        <v>190040.48920000001</v>
      </c>
      <c r="K275" s="5">
        <f t="shared" si="59"/>
        <v>2903.1544332416747</v>
      </c>
      <c r="L275" s="5">
        <f t="shared" si="60"/>
        <v>0.85590648138910674</v>
      </c>
      <c r="M275" s="5">
        <f t="shared" si="63"/>
        <v>0</v>
      </c>
      <c r="N275" s="5">
        <f t="shared" si="64"/>
        <v>7832.2</v>
      </c>
    </row>
    <row r="276" spans="1:14" s="13" customFormat="1" ht="31.5" x14ac:dyDescent="0.25">
      <c r="A276" s="35" t="s">
        <v>761</v>
      </c>
      <c r="B276" s="34" t="s">
        <v>985</v>
      </c>
      <c r="C276" s="30" t="s">
        <v>1371</v>
      </c>
      <c r="D276" s="32" t="s">
        <v>1372</v>
      </c>
      <c r="E276" s="76">
        <v>16.998999999999999</v>
      </c>
      <c r="F276" s="76">
        <v>9.984</v>
      </c>
      <c r="G276" s="5">
        <f t="shared" si="61"/>
        <v>26.982999999999997</v>
      </c>
      <c r="H276" s="5">
        <v>49311.43</v>
      </c>
      <c r="I276" s="5">
        <f>(1081.178)*0.6</f>
        <v>648.70680000000004</v>
      </c>
      <c r="J276" s="5">
        <f t="shared" si="62"/>
        <v>49960.1368</v>
      </c>
      <c r="K276" s="5">
        <f t="shared" si="59"/>
        <v>1851.5412222510472</v>
      </c>
      <c r="L276" s="5">
        <f t="shared" si="60"/>
        <v>0.54587042099384475</v>
      </c>
      <c r="M276" s="5">
        <f t="shared" si="63"/>
        <v>0</v>
      </c>
      <c r="N276" s="5">
        <f t="shared" si="64"/>
        <v>25929</v>
      </c>
    </row>
    <row r="277" spans="1:14" s="13" customFormat="1" ht="31.5" x14ac:dyDescent="0.25">
      <c r="A277" s="35" t="s">
        <v>761</v>
      </c>
      <c r="B277" s="34" t="s">
        <v>986</v>
      </c>
      <c r="C277" s="30" t="s">
        <v>1373</v>
      </c>
      <c r="D277" s="32" t="s">
        <v>1374</v>
      </c>
      <c r="E277" s="76">
        <v>19.38</v>
      </c>
      <c r="F277" s="76">
        <v>9.1470000000000002</v>
      </c>
      <c r="G277" s="5">
        <f t="shared" si="61"/>
        <v>28.527000000000001</v>
      </c>
      <c r="H277" s="5">
        <v>81100.649999999994</v>
      </c>
      <c r="I277" s="5">
        <f>(462.23+2765.838)*0.6</f>
        <v>1936.8407999999999</v>
      </c>
      <c r="J277" s="5">
        <f t="shared" si="62"/>
        <v>83037.4908</v>
      </c>
      <c r="K277" s="5">
        <f t="shared" si="59"/>
        <v>2910.8385319171311</v>
      </c>
      <c r="L277" s="5">
        <f t="shared" si="60"/>
        <v>0.85817190336757609</v>
      </c>
      <c r="M277" s="5">
        <f t="shared" si="63"/>
        <v>0</v>
      </c>
      <c r="N277" s="5">
        <f t="shared" si="64"/>
        <v>3237.9</v>
      </c>
    </row>
    <row r="278" spans="1:14" s="13" customFormat="1" ht="31.5" x14ac:dyDescent="0.25">
      <c r="A278" s="35" t="s">
        <v>761</v>
      </c>
      <c r="B278" s="34" t="s">
        <v>985</v>
      </c>
      <c r="C278" s="30" t="s">
        <v>1375</v>
      </c>
      <c r="D278" s="32" t="s">
        <v>1376</v>
      </c>
      <c r="E278" s="76">
        <v>10.723000000000001</v>
      </c>
      <c r="F278" s="76">
        <v>0.98499999999999999</v>
      </c>
      <c r="G278" s="5">
        <f t="shared" si="61"/>
        <v>11.708</v>
      </c>
      <c r="H278" s="5">
        <v>23207.972999999998</v>
      </c>
      <c r="I278" s="5">
        <f>(43111.692)*0.6</f>
        <v>25867.015200000002</v>
      </c>
      <c r="J278" s="5">
        <f t="shared" si="62"/>
        <v>49074.9882</v>
      </c>
      <c r="K278" s="5">
        <f t="shared" si="59"/>
        <v>4191.5774000683296</v>
      </c>
      <c r="L278" s="5">
        <f t="shared" si="60"/>
        <v>1.2357586709421642</v>
      </c>
      <c r="M278" s="5">
        <f t="shared" si="63"/>
        <v>2695.7</v>
      </c>
      <c r="N278" s="5">
        <f t="shared" si="64"/>
        <v>0</v>
      </c>
    </row>
    <row r="279" spans="1:14" s="13" customFormat="1" ht="31.5" x14ac:dyDescent="0.25">
      <c r="A279" s="35" t="s">
        <v>761</v>
      </c>
      <c r="B279" s="34" t="s">
        <v>985</v>
      </c>
      <c r="C279" s="30" t="s">
        <v>1377</v>
      </c>
      <c r="D279" s="32" t="s">
        <v>1378</v>
      </c>
      <c r="E279" s="76">
        <v>19.173999999999999</v>
      </c>
      <c r="F279" s="76">
        <v>10.611000000000001</v>
      </c>
      <c r="G279" s="5">
        <f t="shared" si="61"/>
        <v>29.785</v>
      </c>
      <c r="H279" s="5">
        <v>68847.16</v>
      </c>
      <c r="I279" s="5"/>
      <c r="J279" s="5">
        <f t="shared" si="62"/>
        <v>68847.16</v>
      </c>
      <c r="K279" s="5">
        <f t="shared" si="59"/>
        <v>2311.4708746013093</v>
      </c>
      <c r="L279" s="5">
        <f t="shared" si="60"/>
        <v>0.68146664209809693</v>
      </c>
      <c r="M279" s="5">
        <f t="shared" si="63"/>
        <v>0</v>
      </c>
      <c r="N279" s="5">
        <f t="shared" si="64"/>
        <v>17662.400000000001</v>
      </c>
    </row>
    <row r="280" spans="1:14" s="13" customFormat="1" ht="31.5" x14ac:dyDescent="0.25">
      <c r="A280" s="35" t="s">
        <v>761</v>
      </c>
      <c r="B280" s="34" t="s">
        <v>985</v>
      </c>
      <c r="C280" s="30" t="s">
        <v>1379</v>
      </c>
      <c r="D280" s="32" t="s">
        <v>1380</v>
      </c>
      <c r="E280" s="76">
        <v>21.399000000000001</v>
      </c>
      <c r="F280" s="76">
        <v>7.1929999999999996</v>
      </c>
      <c r="G280" s="5">
        <f t="shared" si="61"/>
        <v>28.591999999999999</v>
      </c>
      <c r="H280" s="5">
        <v>21145.044999999998</v>
      </c>
      <c r="I280" s="5"/>
      <c r="J280" s="5">
        <f t="shared" si="62"/>
        <v>21145.044999999998</v>
      </c>
      <c r="K280" s="5">
        <f t="shared" si="59"/>
        <v>739.54410324566311</v>
      </c>
      <c r="L280" s="5">
        <f t="shared" si="60"/>
        <v>0.21803200821606616</v>
      </c>
      <c r="M280" s="5">
        <f t="shared" si="63"/>
        <v>0</v>
      </c>
      <c r="N280" s="5">
        <f t="shared" si="64"/>
        <v>52910.6</v>
      </c>
    </row>
    <row r="281" spans="1:14" s="13" customFormat="1" ht="15.75" x14ac:dyDescent="0.25">
      <c r="A281" s="35" t="s">
        <v>761</v>
      </c>
      <c r="B281" s="34" t="s">
        <v>986</v>
      </c>
      <c r="C281" s="30" t="s">
        <v>1381</v>
      </c>
      <c r="D281" s="32" t="s">
        <v>1382</v>
      </c>
      <c r="E281" s="76">
        <v>82.388000000000005</v>
      </c>
      <c r="F281" s="76">
        <v>17.951000000000001</v>
      </c>
      <c r="G281" s="5">
        <f t="shared" si="61"/>
        <v>100.339</v>
      </c>
      <c r="H281" s="5">
        <v>583529.77399999986</v>
      </c>
      <c r="I281" s="5">
        <f>(3787.748+2705.423+2427.364)*0.6</f>
        <v>5352.3209999999999</v>
      </c>
      <c r="J281" s="5">
        <f t="shared" si="62"/>
        <v>588882.09499999986</v>
      </c>
      <c r="K281" s="5">
        <f t="shared" si="59"/>
        <v>5868.9252932558611</v>
      </c>
      <c r="L281" s="5">
        <f t="shared" si="60"/>
        <v>1.7302735051807669</v>
      </c>
      <c r="M281" s="5">
        <f t="shared" si="63"/>
        <v>107253.8</v>
      </c>
      <c r="N281" s="5">
        <f t="shared" si="64"/>
        <v>0</v>
      </c>
    </row>
    <row r="282" spans="1:14" s="13" customFormat="1" ht="31.5" x14ac:dyDescent="0.25">
      <c r="A282" s="35" t="s">
        <v>761</v>
      </c>
      <c r="B282" s="34" t="s">
        <v>985</v>
      </c>
      <c r="C282" s="30" t="s">
        <v>1383</v>
      </c>
      <c r="D282" s="32" t="s">
        <v>1384</v>
      </c>
      <c r="E282" s="76">
        <v>20.736000000000001</v>
      </c>
      <c r="F282" s="76">
        <v>1.0069999999999999</v>
      </c>
      <c r="G282" s="5">
        <f t="shared" si="61"/>
        <v>21.743000000000002</v>
      </c>
      <c r="H282" s="5">
        <v>8418.5849999999991</v>
      </c>
      <c r="I282" s="5"/>
      <c r="J282" s="5">
        <f t="shared" si="62"/>
        <v>8418.5849999999991</v>
      </c>
      <c r="K282" s="5">
        <f t="shared" si="59"/>
        <v>387.18599089362084</v>
      </c>
      <c r="L282" s="5">
        <f t="shared" si="60"/>
        <v>0.11414997263472362</v>
      </c>
      <c r="M282" s="5">
        <f t="shared" si="63"/>
        <v>0</v>
      </c>
      <c r="N282" s="5">
        <f t="shared" si="64"/>
        <v>46365.3</v>
      </c>
    </row>
    <row r="283" spans="1:14" s="13" customFormat="1" ht="31.5" x14ac:dyDescent="0.25">
      <c r="A283" s="35" t="s">
        <v>761</v>
      </c>
      <c r="B283" s="34" t="s">
        <v>983</v>
      </c>
      <c r="C283" s="30" t="s">
        <v>1385</v>
      </c>
      <c r="D283" s="32" t="s">
        <v>1386</v>
      </c>
      <c r="E283" s="76">
        <v>29.167000000000002</v>
      </c>
      <c r="F283" s="76">
        <v>2.6739999999999999</v>
      </c>
      <c r="G283" s="5">
        <f t="shared" si="61"/>
        <v>31.841000000000001</v>
      </c>
      <c r="H283" s="5">
        <v>91970.388999999996</v>
      </c>
      <c r="I283" s="5">
        <f>(220.711)*0.6</f>
        <v>132.42660000000001</v>
      </c>
      <c r="J283" s="5">
        <f t="shared" si="62"/>
        <v>92102.815600000002</v>
      </c>
      <c r="K283" s="5">
        <f t="shared" si="59"/>
        <v>2892.5855218115007</v>
      </c>
      <c r="L283" s="5">
        <f t="shared" si="60"/>
        <v>0.85279056041337942</v>
      </c>
      <c r="M283" s="5">
        <f t="shared" si="63"/>
        <v>0</v>
      </c>
      <c r="N283" s="5">
        <f t="shared" si="64"/>
        <v>4079</v>
      </c>
    </row>
    <row r="284" spans="1:14" s="13" customFormat="1" ht="15.75" x14ac:dyDescent="0.25">
      <c r="A284" s="35" t="s">
        <v>761</v>
      </c>
      <c r="B284" s="34" t="s">
        <v>983</v>
      </c>
      <c r="C284" s="30" t="s">
        <v>1387</v>
      </c>
      <c r="D284" s="32" t="s">
        <v>1388</v>
      </c>
      <c r="E284" s="76">
        <v>8.9030000000000005</v>
      </c>
      <c r="F284" s="76">
        <v>6.6079999999999997</v>
      </c>
      <c r="G284" s="5">
        <f t="shared" si="61"/>
        <v>15.510999999999999</v>
      </c>
      <c r="H284" s="5">
        <v>20501.595000000001</v>
      </c>
      <c r="I284" s="5"/>
      <c r="J284" s="5">
        <f t="shared" si="62"/>
        <v>20501.595000000001</v>
      </c>
      <c r="K284" s="5">
        <f t="shared" si="59"/>
        <v>1321.7455354264716</v>
      </c>
      <c r="L284" s="5">
        <f t="shared" si="60"/>
        <v>0.38967633191164008</v>
      </c>
      <c r="M284" s="5">
        <f t="shared" si="63"/>
        <v>0</v>
      </c>
      <c r="N284" s="5">
        <f t="shared" si="64"/>
        <v>21479.3</v>
      </c>
    </row>
    <row r="285" spans="1:14" s="13" customFormat="1" ht="15.75" x14ac:dyDescent="0.25">
      <c r="A285" s="35" t="s">
        <v>761</v>
      </c>
      <c r="B285" s="34" t="s">
        <v>986</v>
      </c>
      <c r="C285" s="30" t="s">
        <v>1389</v>
      </c>
      <c r="D285" s="32" t="s">
        <v>1390</v>
      </c>
      <c r="E285" s="76">
        <v>35.402999999999999</v>
      </c>
      <c r="F285" s="76">
        <v>14.090999999999999</v>
      </c>
      <c r="G285" s="5">
        <f t="shared" si="61"/>
        <v>49.494</v>
      </c>
      <c r="H285" s="5">
        <v>82915.737999999998</v>
      </c>
      <c r="I285" s="5">
        <f>(2169.274-2765.838+2321.888)*0.6</f>
        <v>1035.1943999999996</v>
      </c>
      <c r="J285" s="5">
        <f t="shared" si="62"/>
        <v>83950.932399999991</v>
      </c>
      <c r="K285" s="5">
        <f t="shared" si="59"/>
        <v>1696.1840303875215</v>
      </c>
      <c r="L285" s="5">
        <f t="shared" si="60"/>
        <v>0.50006809441973743</v>
      </c>
      <c r="M285" s="5">
        <f t="shared" si="63"/>
        <v>0</v>
      </c>
      <c r="N285" s="5">
        <f t="shared" si="64"/>
        <v>53712.1</v>
      </c>
    </row>
    <row r="286" spans="1:14" s="13" customFormat="1" ht="15.75" x14ac:dyDescent="0.25">
      <c r="A286" s="35" t="s">
        <v>761</v>
      </c>
      <c r="B286" s="34" t="s">
        <v>986</v>
      </c>
      <c r="C286" s="30" t="s">
        <v>1391</v>
      </c>
      <c r="D286" s="32" t="s">
        <v>1392</v>
      </c>
      <c r="E286" s="76">
        <v>115.026</v>
      </c>
      <c r="F286" s="76">
        <v>40.432000000000002</v>
      </c>
      <c r="G286" s="5">
        <f t="shared" si="61"/>
        <v>155.458</v>
      </c>
      <c r="H286" s="5">
        <v>371920.63400000002</v>
      </c>
      <c r="I286" s="5">
        <f>(-462.23-2169.274-11735.689-334.135-5491.322-1844.118-457.955-3787.748-1807.136-1993.454-1830.288-1678.809-950.99-2603.132-1362.33-1004.679-1081.178-1343.233-707.44542-714.187+142.647-2744.354-3979.922)*0.6</f>
        <v>-29964.576851999998</v>
      </c>
      <c r="J286" s="5">
        <f t="shared" si="62"/>
        <v>341956.05714799999</v>
      </c>
      <c r="K286" s="5">
        <f t="shared" si="59"/>
        <v>2199.6684451620372</v>
      </c>
      <c r="L286" s="5">
        <f t="shared" si="60"/>
        <v>0.64850510794875071</v>
      </c>
      <c r="M286" s="5">
        <f t="shared" si="63"/>
        <v>0</v>
      </c>
      <c r="N286" s="5">
        <f t="shared" si="64"/>
        <v>106090.4</v>
      </c>
    </row>
    <row r="287" spans="1:14" s="13" customFormat="1" ht="31.5" x14ac:dyDescent="0.25">
      <c r="A287" s="35" t="s">
        <v>761</v>
      </c>
      <c r="B287" s="34" t="s">
        <v>984</v>
      </c>
      <c r="C287" s="30" t="s">
        <v>1393</v>
      </c>
      <c r="D287" s="32" t="s">
        <v>1394</v>
      </c>
      <c r="E287" s="76">
        <v>10.8</v>
      </c>
      <c r="F287" s="76">
        <v>2.8439999999999999</v>
      </c>
      <c r="G287" s="5">
        <f t="shared" si="61"/>
        <v>13.644</v>
      </c>
      <c r="H287" s="5">
        <v>14040.865</v>
      </c>
      <c r="I287" s="5">
        <f>(4517.765+160.821)*0.6</f>
        <v>2807.1516000000001</v>
      </c>
      <c r="J287" s="5">
        <f t="shared" si="62"/>
        <v>16848.016599999999</v>
      </c>
      <c r="K287" s="5">
        <f t="shared" si="59"/>
        <v>1234.8297126942246</v>
      </c>
      <c r="L287" s="5">
        <f t="shared" si="60"/>
        <v>0.36405185421937669</v>
      </c>
      <c r="M287" s="5">
        <f t="shared" si="63"/>
        <v>0</v>
      </c>
      <c r="N287" s="5">
        <f t="shared" si="64"/>
        <v>19842.599999999999</v>
      </c>
    </row>
    <row r="288" spans="1:14" s="13" customFormat="1" ht="15.75" x14ac:dyDescent="0.25">
      <c r="A288" s="35" t="s">
        <v>761</v>
      </c>
      <c r="B288" s="34" t="s">
        <v>986</v>
      </c>
      <c r="C288" s="30" t="s">
        <v>1395</v>
      </c>
      <c r="D288" s="32" t="s">
        <v>1396</v>
      </c>
      <c r="E288" s="76">
        <v>66.369</v>
      </c>
      <c r="F288" s="76">
        <v>7.6619999999999999</v>
      </c>
      <c r="G288" s="5">
        <f t="shared" si="61"/>
        <v>74.031000000000006</v>
      </c>
      <c r="H288" s="5">
        <v>152057.40599999999</v>
      </c>
      <c r="I288" s="5">
        <f>(-29077.898-10801.039+2603.132)*0.6</f>
        <v>-22365.483000000004</v>
      </c>
      <c r="J288" s="5">
        <f t="shared" si="62"/>
        <v>129691.92299999998</v>
      </c>
      <c r="K288" s="5">
        <f t="shared" si="59"/>
        <v>1751.8596668962998</v>
      </c>
      <c r="L288" s="5">
        <f t="shared" si="60"/>
        <v>0.51648235664350683</v>
      </c>
      <c r="M288" s="5">
        <f t="shared" si="63"/>
        <v>0</v>
      </c>
      <c r="N288" s="5">
        <f t="shared" si="64"/>
        <v>77042.899999999994</v>
      </c>
    </row>
    <row r="289" spans="1:14" s="13" customFormat="1" ht="31.5" x14ac:dyDescent="0.25">
      <c r="A289" s="35" t="s">
        <v>761</v>
      </c>
      <c r="B289" s="34" t="s">
        <v>985</v>
      </c>
      <c r="C289" s="30" t="s">
        <v>1397</v>
      </c>
      <c r="D289" s="32" t="s">
        <v>1398</v>
      </c>
      <c r="E289" s="76">
        <v>3.91</v>
      </c>
      <c r="F289" s="76">
        <v>0.19400000000000001</v>
      </c>
      <c r="G289" s="5">
        <f t="shared" si="61"/>
        <v>4.1040000000000001</v>
      </c>
      <c r="H289" s="5">
        <v>25792.123</v>
      </c>
      <c r="I289" s="5"/>
      <c r="J289" s="5">
        <f t="shared" si="62"/>
        <v>25792.123</v>
      </c>
      <c r="K289" s="5">
        <f t="shared" si="59"/>
        <v>6284.6303606237816</v>
      </c>
      <c r="L289" s="5">
        <f t="shared" si="60"/>
        <v>1.8528314571217546</v>
      </c>
      <c r="M289" s="5">
        <f t="shared" si="63"/>
        <v>5239.8999999999996</v>
      </c>
      <c r="N289" s="5">
        <f t="shared" si="64"/>
        <v>0</v>
      </c>
    </row>
    <row r="290" spans="1:14" s="13" customFormat="1" ht="31.5" x14ac:dyDescent="0.25">
      <c r="A290" s="35" t="s">
        <v>761</v>
      </c>
      <c r="B290" s="34" t="s">
        <v>984</v>
      </c>
      <c r="C290" s="30" t="s">
        <v>1399</v>
      </c>
      <c r="D290" s="32" t="s">
        <v>1400</v>
      </c>
      <c r="E290" s="76">
        <v>12.206</v>
      </c>
      <c r="F290" s="76">
        <v>4.18</v>
      </c>
      <c r="G290" s="5">
        <f t="shared" si="61"/>
        <v>16.385999999999999</v>
      </c>
      <c r="H290" s="5">
        <v>38061.315999999999</v>
      </c>
      <c r="I290" s="5"/>
      <c r="J290" s="5">
        <f t="shared" si="62"/>
        <v>38061.315999999999</v>
      </c>
      <c r="K290" s="5">
        <f t="shared" si="59"/>
        <v>2322.7948248504822</v>
      </c>
      <c r="L290" s="5">
        <f t="shared" si="60"/>
        <v>0.68480516322608687</v>
      </c>
      <c r="M290" s="5">
        <f t="shared" si="63"/>
        <v>0</v>
      </c>
      <c r="N290" s="5">
        <f t="shared" si="64"/>
        <v>9568.4</v>
      </c>
    </row>
    <row r="291" spans="1:14" s="13" customFormat="1" ht="31.5" x14ac:dyDescent="0.25">
      <c r="A291" s="35" t="s">
        <v>761</v>
      </c>
      <c r="B291" s="34" t="s">
        <v>983</v>
      </c>
      <c r="C291" s="30" t="s">
        <v>1401</v>
      </c>
      <c r="D291" s="32" t="s">
        <v>1402</v>
      </c>
      <c r="E291" s="76">
        <v>13.2</v>
      </c>
      <c r="F291" s="76">
        <v>1.5669999999999999</v>
      </c>
      <c r="G291" s="5">
        <f t="shared" si="61"/>
        <v>14.766999999999999</v>
      </c>
      <c r="H291" s="5">
        <v>23305.062000000002</v>
      </c>
      <c r="I291" s="5">
        <f>(167.616)*0.6</f>
        <v>100.56960000000001</v>
      </c>
      <c r="J291" s="5">
        <f t="shared" si="62"/>
        <v>23405.631600000001</v>
      </c>
      <c r="K291" s="5">
        <f t="shared" si="59"/>
        <v>1584.9957066431909</v>
      </c>
      <c r="L291" s="5">
        <f t="shared" si="60"/>
        <v>0.46728761059225499</v>
      </c>
      <c r="M291" s="5">
        <f t="shared" si="63"/>
        <v>0</v>
      </c>
      <c r="N291" s="5">
        <f t="shared" si="64"/>
        <v>17339.099999999999</v>
      </c>
    </row>
    <row r="292" spans="1:14" s="13" customFormat="1" ht="15.75" x14ac:dyDescent="0.25">
      <c r="A292" s="17" t="s">
        <v>765</v>
      </c>
      <c r="B292" s="17" t="s">
        <v>7</v>
      </c>
      <c r="C292" s="17" t="s">
        <v>766</v>
      </c>
      <c r="D292" s="11" t="s">
        <v>841</v>
      </c>
      <c r="E292" s="11">
        <f t="shared" ref="E292:J292" si="65">E293+E294+E299</f>
        <v>1195.4949999999997</v>
      </c>
      <c r="F292" s="11">
        <f t="shared" si="65"/>
        <v>7.0559999999999983</v>
      </c>
      <c r="G292" s="11">
        <f t="shared" si="65"/>
        <v>1202.011</v>
      </c>
      <c r="H292" s="11">
        <f t="shared" si="65"/>
        <v>3849168.7369999993</v>
      </c>
      <c r="I292" s="11">
        <f t="shared" si="65"/>
        <v>-2891.1659279999999</v>
      </c>
      <c r="J292" s="11">
        <f t="shared" si="65"/>
        <v>3846277.5710719991</v>
      </c>
      <c r="K292" s="11">
        <f t="shared" si="59"/>
        <v>3199.8688623248868</v>
      </c>
      <c r="L292" s="11">
        <f t="shared" si="60"/>
        <v>0.94338367518427702</v>
      </c>
      <c r="M292" s="11">
        <f>M293+M294+M299</f>
        <v>214805</v>
      </c>
      <c r="N292" s="11">
        <f>N293+N294+N299</f>
        <v>463020.59999999992</v>
      </c>
    </row>
    <row r="293" spans="1:14" s="13" customFormat="1" ht="15.75" x14ac:dyDescent="0.25">
      <c r="A293" s="33" t="s">
        <v>765</v>
      </c>
      <c r="B293" s="34" t="s">
        <v>6</v>
      </c>
      <c r="C293" s="18" t="s">
        <v>69</v>
      </c>
      <c r="D293" s="32" t="s">
        <v>842</v>
      </c>
      <c r="E293" s="5">
        <v>0</v>
      </c>
      <c r="F293" s="5">
        <v>0.54</v>
      </c>
      <c r="G293" s="5"/>
      <c r="H293" s="5"/>
      <c r="I293" s="5"/>
      <c r="J293" s="5"/>
      <c r="K293" s="5"/>
      <c r="L293" s="5"/>
      <c r="M293" s="5"/>
      <c r="N293" s="5"/>
    </row>
    <row r="294" spans="1:14" s="13" customFormat="1" ht="15.75" x14ac:dyDescent="0.25">
      <c r="A294" s="19" t="s">
        <v>765</v>
      </c>
      <c r="B294" s="19" t="s">
        <v>5</v>
      </c>
      <c r="C294" s="19" t="s">
        <v>767</v>
      </c>
      <c r="D294" s="7" t="s">
        <v>2797</v>
      </c>
      <c r="E294" s="7">
        <f t="shared" ref="E294:J294" si="66">SUM(E295:E298)</f>
        <v>0</v>
      </c>
      <c r="F294" s="7">
        <f t="shared" si="66"/>
        <v>0</v>
      </c>
      <c r="G294" s="7">
        <f t="shared" si="66"/>
        <v>0</v>
      </c>
      <c r="H294" s="7">
        <f t="shared" si="66"/>
        <v>0</v>
      </c>
      <c r="I294" s="7">
        <f t="shared" si="66"/>
        <v>0</v>
      </c>
      <c r="J294" s="7">
        <f t="shared" si="66"/>
        <v>0</v>
      </c>
      <c r="K294" s="7" t="e">
        <f>J294/G294</f>
        <v>#DIV/0!</v>
      </c>
      <c r="L294" s="7" t="e">
        <f>K294/$K$1659</f>
        <v>#DIV/0!</v>
      </c>
      <c r="M294" s="7">
        <f>SUM(M295:M298)</f>
        <v>0</v>
      </c>
      <c r="N294" s="7">
        <f>SUM(N295:N298)</f>
        <v>0</v>
      </c>
    </row>
    <row r="295" spans="1:14" s="13" customFormat="1" ht="15.75" x14ac:dyDescent="0.25">
      <c r="A295" s="33" t="s">
        <v>765</v>
      </c>
      <c r="B295" s="34" t="s">
        <v>4</v>
      </c>
      <c r="C295" s="18" t="s">
        <v>70</v>
      </c>
      <c r="D295" s="32" t="s">
        <v>2798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</row>
    <row r="296" spans="1:14" s="13" customFormat="1" ht="15.75" x14ac:dyDescent="0.25">
      <c r="A296" s="33" t="s">
        <v>765</v>
      </c>
      <c r="B296" s="34" t="s">
        <v>4</v>
      </c>
      <c r="C296" s="18" t="s">
        <v>71</v>
      </c>
      <c r="D296" s="32" t="s">
        <v>897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</row>
    <row r="297" spans="1:14" s="13" customFormat="1" ht="15.75" x14ac:dyDescent="0.25">
      <c r="A297" s="33" t="s">
        <v>765</v>
      </c>
      <c r="B297" s="34" t="s">
        <v>4</v>
      </c>
      <c r="C297" s="18" t="s">
        <v>72</v>
      </c>
      <c r="D297" s="32" t="s">
        <v>898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</row>
    <row r="298" spans="1:14" s="13" customFormat="1" ht="15.75" x14ac:dyDescent="0.25">
      <c r="A298" s="33" t="s">
        <v>765</v>
      </c>
      <c r="B298" s="34" t="s">
        <v>4</v>
      </c>
      <c r="C298" s="18" t="s">
        <v>73</v>
      </c>
      <c r="D298" s="32" t="s">
        <v>899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</row>
    <row r="299" spans="1:14" s="13" customFormat="1" ht="31.5" x14ac:dyDescent="0.25">
      <c r="A299" s="19" t="s">
        <v>765</v>
      </c>
      <c r="B299" s="19" t="s">
        <v>28</v>
      </c>
      <c r="C299" s="19" t="s">
        <v>768</v>
      </c>
      <c r="D299" s="20" t="s">
        <v>2772</v>
      </c>
      <c r="E299" s="7">
        <f t="shared" ref="E299:J299" si="67">SUM(E300:E365)</f>
        <v>1195.4949999999997</v>
      </c>
      <c r="F299" s="7">
        <f t="shared" si="67"/>
        <v>6.5159999999999982</v>
      </c>
      <c r="G299" s="7">
        <f t="shared" si="67"/>
        <v>1202.011</v>
      </c>
      <c r="H299" s="7">
        <f t="shared" si="67"/>
        <v>3849168.7369999993</v>
      </c>
      <c r="I299" s="7">
        <f t="shared" si="67"/>
        <v>-2891.1659279999999</v>
      </c>
      <c r="J299" s="7">
        <f t="shared" si="67"/>
        <v>3846277.5710719991</v>
      </c>
      <c r="K299" s="7">
        <f t="shared" ref="K299:K323" si="68">J299/G299</f>
        <v>3199.8688623248868</v>
      </c>
      <c r="L299" s="7">
        <f t="shared" ref="L299:L330" si="69">K299/$K$1659</f>
        <v>0.94338367518427702</v>
      </c>
      <c r="M299" s="7">
        <f>SUM(M300:M365)</f>
        <v>214805</v>
      </c>
      <c r="N299" s="7">
        <f>SUM(N300:N365)</f>
        <v>463020.59999999992</v>
      </c>
    </row>
    <row r="300" spans="1:14" s="13" customFormat="1" ht="31.5" x14ac:dyDescent="0.25">
      <c r="A300" s="33" t="s">
        <v>765</v>
      </c>
      <c r="B300" s="34" t="s">
        <v>984</v>
      </c>
      <c r="C300" s="18" t="s">
        <v>74</v>
      </c>
      <c r="D300" s="32" t="s">
        <v>1403</v>
      </c>
      <c r="E300" s="5">
        <v>2.3479999999999999</v>
      </c>
      <c r="F300" s="5">
        <v>2.7E-2</v>
      </c>
      <c r="G300" s="5">
        <f t="shared" ref="G300:G355" si="70">F300+E300</f>
        <v>2.375</v>
      </c>
      <c r="H300" s="5">
        <v>5953.4949999999999</v>
      </c>
      <c r="I300" s="5"/>
      <c r="J300" s="5">
        <f t="shared" ref="J300:J323" si="71">H300+I300</f>
        <v>5953.4949999999999</v>
      </c>
      <c r="K300" s="5">
        <f t="shared" si="68"/>
        <v>2506.7347368421051</v>
      </c>
      <c r="L300" s="5">
        <f t="shared" si="69"/>
        <v>0.73903423249539846</v>
      </c>
      <c r="M300" s="5">
        <f t="shared" ref="M300:M331" si="72">ROUND(IF(L300&lt;110%,0,(K300-$K$1659*1.1)*0.5)*G300,1)</f>
        <v>0</v>
      </c>
      <c r="N300" s="5">
        <f t="shared" ref="N300:N331" si="73">ROUND(IF(L300&gt;90%,0,(-K300+$K$1659*0.9)*0.8)*G300,1)</f>
        <v>1037.4000000000001</v>
      </c>
    </row>
    <row r="301" spans="1:14" s="13" customFormat="1" ht="31.5" x14ac:dyDescent="0.25">
      <c r="A301" s="33" t="s">
        <v>765</v>
      </c>
      <c r="B301" s="34" t="s">
        <v>984</v>
      </c>
      <c r="C301" s="18" t="s">
        <v>75</v>
      </c>
      <c r="D301" s="32" t="s">
        <v>1404</v>
      </c>
      <c r="E301" s="5">
        <v>3.129</v>
      </c>
      <c r="F301" s="5">
        <v>2.1000000000000001E-2</v>
      </c>
      <c r="G301" s="5">
        <f t="shared" si="70"/>
        <v>3.15</v>
      </c>
      <c r="H301" s="5">
        <v>6459.3919999999998</v>
      </c>
      <c r="I301" s="5"/>
      <c r="J301" s="5">
        <f t="shared" si="71"/>
        <v>6459.3919999999998</v>
      </c>
      <c r="K301" s="5">
        <f t="shared" si="68"/>
        <v>2050.600634920635</v>
      </c>
      <c r="L301" s="5">
        <f t="shared" si="69"/>
        <v>0.6045570135962115</v>
      </c>
      <c r="M301" s="5">
        <f t="shared" si="72"/>
        <v>0</v>
      </c>
      <c r="N301" s="5">
        <f t="shared" si="73"/>
        <v>2525.3000000000002</v>
      </c>
    </row>
    <row r="302" spans="1:14" s="13" customFormat="1" ht="15.75" x14ac:dyDescent="0.25">
      <c r="A302" s="33" t="s">
        <v>765</v>
      </c>
      <c r="B302" s="34" t="s">
        <v>984</v>
      </c>
      <c r="C302" s="18" t="s">
        <v>76</v>
      </c>
      <c r="D302" s="32" t="s">
        <v>1405</v>
      </c>
      <c r="E302" s="5">
        <v>3.7469999999999999</v>
      </c>
      <c r="F302" s="5">
        <v>0</v>
      </c>
      <c r="G302" s="5">
        <f t="shared" si="70"/>
        <v>3.7469999999999999</v>
      </c>
      <c r="H302" s="5">
        <v>5236.5889999999999</v>
      </c>
      <c r="I302" s="5"/>
      <c r="J302" s="5">
        <f t="shared" si="71"/>
        <v>5236.5889999999999</v>
      </c>
      <c r="K302" s="5">
        <f t="shared" si="68"/>
        <v>1397.5417667467307</v>
      </c>
      <c r="L302" s="5">
        <f t="shared" si="69"/>
        <v>0.41202253744209771</v>
      </c>
      <c r="M302" s="5">
        <f t="shared" si="72"/>
        <v>0</v>
      </c>
      <c r="N302" s="5">
        <f t="shared" si="73"/>
        <v>4961.5</v>
      </c>
    </row>
    <row r="303" spans="1:14" s="13" customFormat="1" ht="15.75" x14ac:dyDescent="0.25">
      <c r="A303" s="33" t="s">
        <v>765</v>
      </c>
      <c r="B303" s="34" t="s">
        <v>985</v>
      </c>
      <c r="C303" s="18" t="s">
        <v>77</v>
      </c>
      <c r="D303" s="32" t="s">
        <v>1406</v>
      </c>
      <c r="E303" s="5">
        <v>9.0809999999999995</v>
      </c>
      <c r="F303" s="5">
        <v>3.6999999999999998E-2</v>
      </c>
      <c r="G303" s="5">
        <f t="shared" si="70"/>
        <v>9.1180000000000003</v>
      </c>
      <c r="H303" s="5">
        <v>36108.129000000001</v>
      </c>
      <c r="I303" s="5"/>
      <c r="J303" s="5">
        <f t="shared" si="71"/>
        <v>36108.129000000001</v>
      </c>
      <c r="K303" s="5">
        <f t="shared" si="68"/>
        <v>3960.0931125246766</v>
      </c>
      <c r="L303" s="5">
        <f t="shared" si="69"/>
        <v>1.1675125935789561</v>
      </c>
      <c r="M303" s="5">
        <f t="shared" si="72"/>
        <v>1044</v>
      </c>
      <c r="N303" s="5">
        <f t="shared" si="73"/>
        <v>0</v>
      </c>
    </row>
    <row r="304" spans="1:14" s="13" customFormat="1" ht="31.5" x14ac:dyDescent="0.25">
      <c r="A304" s="33" t="s">
        <v>765</v>
      </c>
      <c r="B304" s="34" t="s">
        <v>985</v>
      </c>
      <c r="C304" s="18" t="s">
        <v>78</v>
      </c>
      <c r="D304" s="32" t="s">
        <v>1407</v>
      </c>
      <c r="E304" s="5">
        <v>9.3819999999999997</v>
      </c>
      <c r="F304" s="5">
        <v>4.2000000000000003E-2</v>
      </c>
      <c r="G304" s="5">
        <f t="shared" si="70"/>
        <v>9.4239999999999995</v>
      </c>
      <c r="H304" s="5">
        <v>20735.057000000001</v>
      </c>
      <c r="I304" s="5"/>
      <c r="J304" s="5">
        <f t="shared" si="71"/>
        <v>20735.057000000001</v>
      </c>
      <c r="K304" s="5">
        <f t="shared" si="68"/>
        <v>2200.2394949066215</v>
      </c>
      <c r="L304" s="5">
        <f t="shared" si="69"/>
        <v>0.64867346453770403</v>
      </c>
      <c r="M304" s="5">
        <f t="shared" si="72"/>
        <v>0</v>
      </c>
      <c r="N304" s="5">
        <f t="shared" si="73"/>
        <v>6427</v>
      </c>
    </row>
    <row r="305" spans="1:14" s="13" customFormat="1" ht="31.5" x14ac:dyDescent="0.25">
      <c r="A305" s="33" t="s">
        <v>765</v>
      </c>
      <c r="B305" s="34" t="s">
        <v>985</v>
      </c>
      <c r="C305" s="18" t="s">
        <v>226</v>
      </c>
      <c r="D305" s="32" t="s">
        <v>1408</v>
      </c>
      <c r="E305" s="5">
        <v>8.2889999999999997</v>
      </c>
      <c r="F305" s="5">
        <v>2.4E-2</v>
      </c>
      <c r="G305" s="5">
        <f t="shared" si="70"/>
        <v>8.3129999999999988</v>
      </c>
      <c r="H305" s="5">
        <v>11535.796</v>
      </c>
      <c r="I305" s="5"/>
      <c r="J305" s="5">
        <f t="shared" si="71"/>
        <v>11535.796</v>
      </c>
      <c r="K305" s="5">
        <f t="shared" si="68"/>
        <v>1387.681462769157</v>
      </c>
      <c r="L305" s="5">
        <f t="shared" si="69"/>
        <v>0.40911552774731946</v>
      </c>
      <c r="M305" s="5">
        <f t="shared" si="72"/>
        <v>0</v>
      </c>
      <c r="N305" s="5">
        <f t="shared" si="73"/>
        <v>11073.1</v>
      </c>
    </row>
    <row r="306" spans="1:14" s="12" customFormat="1" ht="15.75" x14ac:dyDescent="0.25">
      <c r="A306" s="33" t="s">
        <v>765</v>
      </c>
      <c r="B306" s="34" t="s">
        <v>984</v>
      </c>
      <c r="C306" s="18" t="s">
        <v>227</v>
      </c>
      <c r="D306" s="32" t="s">
        <v>1409</v>
      </c>
      <c r="E306" s="5">
        <v>3.42</v>
      </c>
      <c r="F306" s="5">
        <v>2.1000000000000001E-2</v>
      </c>
      <c r="G306" s="5">
        <f t="shared" si="70"/>
        <v>3.4409999999999998</v>
      </c>
      <c r="H306" s="5">
        <v>5026.1769999999997</v>
      </c>
      <c r="I306" s="5"/>
      <c r="J306" s="5">
        <f t="shared" si="71"/>
        <v>5026.1769999999997</v>
      </c>
      <c r="K306" s="5">
        <f t="shared" si="68"/>
        <v>1460.6733507701249</v>
      </c>
      <c r="L306" s="5">
        <f t="shared" si="69"/>
        <v>0.43063495823765585</v>
      </c>
      <c r="M306" s="5">
        <f t="shared" si="72"/>
        <v>0</v>
      </c>
      <c r="N306" s="5">
        <f t="shared" si="73"/>
        <v>4382.6000000000004</v>
      </c>
    </row>
    <row r="307" spans="1:14" ht="31.5" x14ac:dyDescent="0.25">
      <c r="A307" s="33" t="s">
        <v>765</v>
      </c>
      <c r="B307" s="34" t="s">
        <v>984</v>
      </c>
      <c r="C307" s="18" t="s">
        <v>228</v>
      </c>
      <c r="D307" s="32" t="s">
        <v>1410</v>
      </c>
      <c r="E307" s="5">
        <v>9.6470000000000002</v>
      </c>
      <c r="F307" s="5">
        <v>3.4000000000000002E-2</v>
      </c>
      <c r="G307" s="5">
        <f t="shared" si="70"/>
        <v>9.6810000000000009</v>
      </c>
      <c r="H307" s="5">
        <v>23116.794999999998</v>
      </c>
      <c r="I307" s="5"/>
      <c r="J307" s="5">
        <f t="shared" si="71"/>
        <v>23116.794999999998</v>
      </c>
      <c r="K307" s="5">
        <f t="shared" si="68"/>
        <v>2387.8519781014352</v>
      </c>
      <c r="L307" s="5">
        <f t="shared" si="69"/>
        <v>0.7039852793406951</v>
      </c>
      <c r="M307" s="5">
        <f t="shared" si="72"/>
        <v>0</v>
      </c>
      <c r="N307" s="5">
        <f t="shared" si="73"/>
        <v>5149.2</v>
      </c>
    </row>
    <row r="308" spans="1:14" ht="31.5" x14ac:dyDescent="0.25">
      <c r="A308" s="33" t="s">
        <v>765</v>
      </c>
      <c r="B308" s="34" t="s">
        <v>985</v>
      </c>
      <c r="C308" s="18" t="s">
        <v>229</v>
      </c>
      <c r="D308" s="32" t="s">
        <v>1411</v>
      </c>
      <c r="E308" s="5">
        <v>5.476</v>
      </c>
      <c r="F308" s="5">
        <v>3.1E-2</v>
      </c>
      <c r="G308" s="5">
        <f t="shared" si="70"/>
        <v>5.5069999999999997</v>
      </c>
      <c r="H308" s="5">
        <v>7092.5029999999997</v>
      </c>
      <c r="I308" s="5"/>
      <c r="J308" s="5">
        <f t="shared" si="71"/>
        <v>7092.5029999999997</v>
      </c>
      <c r="K308" s="5">
        <f t="shared" si="68"/>
        <v>1287.9068458325767</v>
      </c>
      <c r="L308" s="5">
        <f t="shared" si="69"/>
        <v>0.37970002702978478</v>
      </c>
      <c r="M308" s="5">
        <f t="shared" si="72"/>
        <v>0</v>
      </c>
      <c r="N308" s="5">
        <f t="shared" si="73"/>
        <v>7775</v>
      </c>
    </row>
    <row r="309" spans="1:14" ht="31.5" x14ac:dyDescent="0.25">
      <c r="A309" s="33" t="s">
        <v>765</v>
      </c>
      <c r="B309" s="34" t="s">
        <v>985</v>
      </c>
      <c r="C309" s="18" t="s">
        <v>283</v>
      </c>
      <c r="D309" s="32" t="s">
        <v>1412</v>
      </c>
      <c r="E309" s="5">
        <v>5.4649999999999999</v>
      </c>
      <c r="F309" s="5">
        <v>0.02</v>
      </c>
      <c r="G309" s="5">
        <f t="shared" si="70"/>
        <v>5.4849999999999994</v>
      </c>
      <c r="H309" s="5">
        <v>8643.634</v>
      </c>
      <c r="I309" s="5"/>
      <c r="J309" s="5">
        <f t="shared" si="71"/>
        <v>8643.634</v>
      </c>
      <c r="K309" s="5">
        <f t="shared" si="68"/>
        <v>1575.8676390154969</v>
      </c>
      <c r="L309" s="5">
        <f t="shared" si="69"/>
        <v>0.46459647843764285</v>
      </c>
      <c r="M309" s="5">
        <f t="shared" si="72"/>
        <v>0</v>
      </c>
      <c r="N309" s="5">
        <f t="shared" si="73"/>
        <v>6480.4</v>
      </c>
    </row>
    <row r="310" spans="1:14" ht="15.75" x14ac:dyDescent="0.25">
      <c r="A310" s="33" t="s">
        <v>765</v>
      </c>
      <c r="B310" s="34" t="s">
        <v>983</v>
      </c>
      <c r="C310" s="18" t="s">
        <v>341</v>
      </c>
      <c r="D310" s="32" t="s">
        <v>1413</v>
      </c>
      <c r="E310" s="5">
        <v>25.292999999999999</v>
      </c>
      <c r="F310" s="5">
        <v>5.0000000000000001E-3</v>
      </c>
      <c r="G310" s="5">
        <f t="shared" si="70"/>
        <v>25.297999999999998</v>
      </c>
      <c r="H310" s="5">
        <v>45688.716999999997</v>
      </c>
      <c r="I310" s="5"/>
      <c r="J310" s="5">
        <f t="shared" si="71"/>
        <v>45688.716999999997</v>
      </c>
      <c r="K310" s="5">
        <f t="shared" si="68"/>
        <v>1806.0209107439323</v>
      </c>
      <c r="L310" s="5">
        <f t="shared" si="69"/>
        <v>0.53245014640986865</v>
      </c>
      <c r="M310" s="5">
        <f t="shared" si="72"/>
        <v>0</v>
      </c>
      <c r="N310" s="5">
        <f t="shared" si="73"/>
        <v>25231.1</v>
      </c>
    </row>
    <row r="311" spans="1:14" ht="31.5" x14ac:dyDescent="0.25">
      <c r="A311" s="33" t="s">
        <v>765</v>
      </c>
      <c r="B311" s="34" t="s">
        <v>983</v>
      </c>
      <c r="C311" s="18" t="s">
        <v>342</v>
      </c>
      <c r="D311" s="32" t="s">
        <v>1414</v>
      </c>
      <c r="E311" s="5">
        <v>29.736999999999998</v>
      </c>
      <c r="F311" s="5">
        <v>0.20599999999999999</v>
      </c>
      <c r="G311" s="5">
        <f t="shared" si="70"/>
        <v>29.942999999999998</v>
      </c>
      <c r="H311" s="5">
        <v>59430.851999999999</v>
      </c>
      <c r="I311" s="5"/>
      <c r="J311" s="5">
        <f t="shared" si="71"/>
        <v>59430.851999999999</v>
      </c>
      <c r="K311" s="5">
        <f t="shared" si="68"/>
        <v>1984.7995190862639</v>
      </c>
      <c r="L311" s="5">
        <f t="shared" si="69"/>
        <v>0.58515756281935882</v>
      </c>
      <c r="M311" s="5">
        <f t="shared" si="72"/>
        <v>0</v>
      </c>
      <c r="N311" s="5">
        <f t="shared" si="73"/>
        <v>25581.3</v>
      </c>
    </row>
    <row r="312" spans="1:14" s="24" customFormat="1" ht="15.75" x14ac:dyDescent="0.25">
      <c r="A312" s="33" t="s">
        <v>765</v>
      </c>
      <c r="B312" s="34" t="s">
        <v>983</v>
      </c>
      <c r="C312" s="18" t="s">
        <v>343</v>
      </c>
      <c r="D312" s="32" t="s">
        <v>1415</v>
      </c>
      <c r="E312" s="5">
        <v>34.587000000000003</v>
      </c>
      <c r="F312" s="5">
        <v>0.122</v>
      </c>
      <c r="G312" s="5">
        <f t="shared" si="70"/>
        <v>34.709000000000003</v>
      </c>
      <c r="H312" s="5">
        <v>57946.504000000001</v>
      </c>
      <c r="I312" s="5"/>
      <c r="J312" s="5">
        <f t="shared" si="71"/>
        <v>57946.504000000001</v>
      </c>
      <c r="K312" s="5">
        <f t="shared" si="68"/>
        <v>1669.4950589184359</v>
      </c>
      <c r="L312" s="5">
        <f t="shared" si="69"/>
        <v>0.49219966572009971</v>
      </c>
      <c r="M312" s="5">
        <f t="shared" si="72"/>
        <v>0</v>
      </c>
      <c r="N312" s="5">
        <f t="shared" si="73"/>
        <v>38408.199999999997</v>
      </c>
    </row>
    <row r="313" spans="1:14" s="24" customFormat="1" ht="31.5" x14ac:dyDescent="0.25">
      <c r="A313" s="33" t="s">
        <v>765</v>
      </c>
      <c r="B313" s="34" t="s">
        <v>985</v>
      </c>
      <c r="C313" s="18" t="s">
        <v>344</v>
      </c>
      <c r="D313" s="32" t="s">
        <v>1416</v>
      </c>
      <c r="E313" s="5">
        <v>14.272</v>
      </c>
      <c r="F313" s="5">
        <v>0.157</v>
      </c>
      <c r="G313" s="5">
        <f t="shared" si="70"/>
        <v>14.429</v>
      </c>
      <c r="H313" s="5">
        <v>39352.328000000001</v>
      </c>
      <c r="I313" s="5"/>
      <c r="J313" s="5">
        <f t="shared" si="71"/>
        <v>39352.328000000001</v>
      </c>
      <c r="K313" s="5">
        <f t="shared" si="68"/>
        <v>2727.3080601566289</v>
      </c>
      <c r="L313" s="5">
        <f t="shared" si="69"/>
        <v>0.80406354505443856</v>
      </c>
      <c r="M313" s="5">
        <f t="shared" si="72"/>
        <v>0</v>
      </c>
      <c r="N313" s="5">
        <f t="shared" si="73"/>
        <v>3756.2</v>
      </c>
    </row>
    <row r="314" spans="1:14" s="24" customFormat="1" ht="31.5" x14ac:dyDescent="0.25">
      <c r="A314" s="33" t="s">
        <v>765</v>
      </c>
      <c r="B314" s="34" t="s">
        <v>985</v>
      </c>
      <c r="C314" s="18" t="s">
        <v>345</v>
      </c>
      <c r="D314" s="32" t="s">
        <v>2947</v>
      </c>
      <c r="E314" s="5">
        <v>8.2140000000000004</v>
      </c>
      <c r="F314" s="5">
        <v>3.3000000000000002E-2</v>
      </c>
      <c r="G314" s="5">
        <f t="shared" si="70"/>
        <v>8.2469999999999999</v>
      </c>
      <c r="H314" s="5">
        <v>8985.3610000000008</v>
      </c>
      <c r="I314" s="5"/>
      <c r="J314" s="5">
        <f t="shared" si="71"/>
        <v>8985.3610000000008</v>
      </c>
      <c r="K314" s="5">
        <f t="shared" si="68"/>
        <v>1089.53085970656</v>
      </c>
      <c r="L314" s="5">
        <f t="shared" si="69"/>
        <v>0.32121492188585227</v>
      </c>
      <c r="M314" s="5">
        <f t="shared" si="72"/>
        <v>0</v>
      </c>
      <c r="N314" s="5">
        <f t="shared" si="73"/>
        <v>12952.3</v>
      </c>
    </row>
    <row r="315" spans="1:14" s="24" customFormat="1" ht="31.5" x14ac:dyDescent="0.25">
      <c r="A315" s="33" t="s">
        <v>765</v>
      </c>
      <c r="B315" s="34" t="s">
        <v>985</v>
      </c>
      <c r="C315" s="18" t="s">
        <v>346</v>
      </c>
      <c r="D315" s="32" t="s">
        <v>1418</v>
      </c>
      <c r="E315" s="5">
        <v>8.8770000000000007</v>
      </c>
      <c r="F315" s="5">
        <v>4.0000000000000001E-3</v>
      </c>
      <c r="G315" s="5">
        <f t="shared" si="70"/>
        <v>8.8810000000000002</v>
      </c>
      <c r="H315" s="5">
        <v>13867.76</v>
      </c>
      <c r="I315" s="5"/>
      <c r="J315" s="5">
        <f t="shared" si="71"/>
        <v>13867.76</v>
      </c>
      <c r="K315" s="5">
        <f t="shared" si="68"/>
        <v>1561.5088390946964</v>
      </c>
      <c r="L315" s="5">
        <f t="shared" si="69"/>
        <v>0.46036322450651812</v>
      </c>
      <c r="M315" s="5">
        <f t="shared" si="72"/>
        <v>0</v>
      </c>
      <c r="N315" s="5">
        <f t="shared" si="73"/>
        <v>10594.7</v>
      </c>
    </row>
    <row r="316" spans="1:14" s="24" customFormat="1" ht="15.75" x14ac:dyDescent="0.25">
      <c r="A316" s="33" t="s">
        <v>765</v>
      </c>
      <c r="B316" s="34" t="s">
        <v>985</v>
      </c>
      <c r="C316" s="18" t="s">
        <v>347</v>
      </c>
      <c r="D316" s="32" t="s">
        <v>1419</v>
      </c>
      <c r="E316" s="5">
        <v>15.4</v>
      </c>
      <c r="F316" s="5">
        <v>4.7E-2</v>
      </c>
      <c r="G316" s="5">
        <f t="shared" si="70"/>
        <v>15.447000000000001</v>
      </c>
      <c r="H316" s="5">
        <v>26400.185999999998</v>
      </c>
      <c r="I316" s="5"/>
      <c r="J316" s="5">
        <f t="shared" si="71"/>
        <v>26400.185999999998</v>
      </c>
      <c r="K316" s="5">
        <f t="shared" si="68"/>
        <v>1709.0817634492132</v>
      </c>
      <c r="L316" s="5">
        <f t="shared" si="69"/>
        <v>0.50387059737870066</v>
      </c>
      <c r="M316" s="5">
        <f t="shared" si="72"/>
        <v>0</v>
      </c>
      <c r="N316" s="5">
        <f t="shared" si="73"/>
        <v>16604.099999999999</v>
      </c>
    </row>
    <row r="317" spans="1:14" s="24" customFormat="1" ht="31.5" x14ac:dyDescent="0.25">
      <c r="A317" s="33" t="s">
        <v>765</v>
      </c>
      <c r="B317" s="34" t="s">
        <v>985</v>
      </c>
      <c r="C317" s="18" t="s">
        <v>348</v>
      </c>
      <c r="D317" s="32" t="s">
        <v>2948</v>
      </c>
      <c r="E317" s="5">
        <v>7.0679999999999996</v>
      </c>
      <c r="F317" s="5">
        <v>2.7E-2</v>
      </c>
      <c r="G317" s="5">
        <f t="shared" si="70"/>
        <v>7.0949999999999998</v>
      </c>
      <c r="H317" s="5">
        <v>22329.817999999999</v>
      </c>
      <c r="I317" s="5"/>
      <c r="J317" s="5">
        <f t="shared" si="71"/>
        <v>22329.817999999999</v>
      </c>
      <c r="K317" s="5">
        <f t="shared" si="68"/>
        <v>3147.2611698379142</v>
      </c>
      <c r="L317" s="5">
        <f t="shared" si="69"/>
        <v>0.92787390262276459</v>
      </c>
      <c r="M317" s="5">
        <f t="shared" si="72"/>
        <v>0</v>
      </c>
      <c r="N317" s="5">
        <f t="shared" si="73"/>
        <v>0</v>
      </c>
    </row>
    <row r="318" spans="1:14" ht="31.5" x14ac:dyDescent="0.25">
      <c r="A318" s="33" t="s">
        <v>765</v>
      </c>
      <c r="B318" s="34" t="s">
        <v>985</v>
      </c>
      <c r="C318" s="18" t="s">
        <v>349</v>
      </c>
      <c r="D318" s="32" t="s">
        <v>1421</v>
      </c>
      <c r="E318" s="5">
        <v>16.361999999999998</v>
      </c>
      <c r="F318" s="5">
        <v>7.1999999999999995E-2</v>
      </c>
      <c r="G318" s="5">
        <f t="shared" si="70"/>
        <v>16.433999999999997</v>
      </c>
      <c r="H318" s="5">
        <v>58850.25</v>
      </c>
      <c r="I318" s="5">
        <f>(-1028.801)*0.6</f>
        <v>-617.28059999999994</v>
      </c>
      <c r="J318" s="5">
        <f t="shared" si="71"/>
        <v>58232.969400000002</v>
      </c>
      <c r="K318" s="5">
        <f t="shared" si="68"/>
        <v>3543.4446513326038</v>
      </c>
      <c r="L318" s="5">
        <f t="shared" si="69"/>
        <v>1.0446765107609648</v>
      </c>
      <c r="M318" s="5">
        <f t="shared" si="72"/>
        <v>0</v>
      </c>
      <c r="N318" s="5">
        <f t="shared" si="73"/>
        <v>0</v>
      </c>
    </row>
    <row r="319" spans="1:14" ht="31.5" x14ac:dyDescent="0.25">
      <c r="A319" s="33" t="s">
        <v>765</v>
      </c>
      <c r="B319" s="34" t="s">
        <v>985</v>
      </c>
      <c r="C319" s="18" t="s">
        <v>350</v>
      </c>
      <c r="D319" s="32" t="s">
        <v>1422</v>
      </c>
      <c r="E319" s="5">
        <v>17.885000000000002</v>
      </c>
      <c r="F319" s="5">
        <v>6.8000000000000005E-2</v>
      </c>
      <c r="G319" s="5">
        <f t="shared" si="70"/>
        <v>17.953000000000003</v>
      </c>
      <c r="H319" s="5">
        <v>29043.762999999999</v>
      </c>
      <c r="I319" s="5"/>
      <c r="J319" s="5">
        <f t="shared" si="71"/>
        <v>29043.762999999999</v>
      </c>
      <c r="K319" s="5">
        <f t="shared" si="68"/>
        <v>1617.7665571213722</v>
      </c>
      <c r="L319" s="5">
        <f t="shared" si="69"/>
        <v>0.47694909570091631</v>
      </c>
      <c r="M319" s="5">
        <f t="shared" si="72"/>
        <v>0</v>
      </c>
      <c r="N319" s="5">
        <f t="shared" si="73"/>
        <v>20609.3</v>
      </c>
    </row>
    <row r="320" spans="1:14" ht="31.5" x14ac:dyDescent="0.25">
      <c r="A320" s="33" t="s">
        <v>765</v>
      </c>
      <c r="B320" s="34" t="s">
        <v>985</v>
      </c>
      <c r="C320" s="18" t="s">
        <v>351</v>
      </c>
      <c r="D320" s="32" t="s">
        <v>1423</v>
      </c>
      <c r="E320" s="5">
        <v>5.8739999999999997</v>
      </c>
      <c r="F320" s="5">
        <v>4.4999999999999998E-2</v>
      </c>
      <c r="G320" s="5">
        <f t="shared" si="70"/>
        <v>5.9189999999999996</v>
      </c>
      <c r="H320" s="5">
        <v>8455.0669999999991</v>
      </c>
      <c r="I320" s="5"/>
      <c r="J320" s="5">
        <f t="shared" si="71"/>
        <v>8455.0669999999991</v>
      </c>
      <c r="K320" s="5">
        <f t="shared" si="68"/>
        <v>1428.4620712958269</v>
      </c>
      <c r="L320" s="5">
        <f t="shared" si="69"/>
        <v>0.42113844556157926</v>
      </c>
      <c r="M320" s="5">
        <f t="shared" si="72"/>
        <v>0</v>
      </c>
      <c r="N320" s="5">
        <f t="shared" si="73"/>
        <v>7691.2</v>
      </c>
    </row>
    <row r="321" spans="1:14" ht="31.5" x14ac:dyDescent="0.25">
      <c r="A321" s="33" t="s">
        <v>765</v>
      </c>
      <c r="B321" s="34" t="s">
        <v>984</v>
      </c>
      <c r="C321" s="18" t="s">
        <v>352</v>
      </c>
      <c r="D321" s="32" t="s">
        <v>1424</v>
      </c>
      <c r="E321" s="5">
        <v>3.831</v>
      </c>
      <c r="F321" s="5">
        <v>1.7000000000000001E-2</v>
      </c>
      <c r="G321" s="5">
        <f t="shared" si="70"/>
        <v>3.8479999999999999</v>
      </c>
      <c r="H321" s="5">
        <v>17472.293000000001</v>
      </c>
      <c r="I321" s="5"/>
      <c r="J321" s="5">
        <f t="shared" si="71"/>
        <v>17472.293000000001</v>
      </c>
      <c r="K321" s="5">
        <f t="shared" si="68"/>
        <v>4540.6166839916841</v>
      </c>
      <c r="L321" s="5">
        <f t="shared" si="69"/>
        <v>1.3386622512507846</v>
      </c>
      <c r="M321" s="5">
        <f t="shared" si="72"/>
        <v>1557.5</v>
      </c>
      <c r="N321" s="5">
        <f t="shared" si="73"/>
        <v>0</v>
      </c>
    </row>
    <row r="322" spans="1:14" ht="31.5" x14ac:dyDescent="0.25">
      <c r="A322" s="33" t="s">
        <v>765</v>
      </c>
      <c r="B322" s="34" t="s">
        <v>984</v>
      </c>
      <c r="C322" s="18" t="s">
        <v>353</v>
      </c>
      <c r="D322" s="32" t="s">
        <v>1425</v>
      </c>
      <c r="E322" s="5">
        <v>6.7309999999999999</v>
      </c>
      <c r="F322" s="5">
        <v>2.4E-2</v>
      </c>
      <c r="G322" s="5">
        <f t="shared" si="70"/>
        <v>6.7549999999999999</v>
      </c>
      <c r="H322" s="5">
        <v>6641.1089999999995</v>
      </c>
      <c r="I322" s="5"/>
      <c r="J322" s="5">
        <f t="shared" si="71"/>
        <v>6641.1089999999995</v>
      </c>
      <c r="K322" s="5">
        <f t="shared" si="68"/>
        <v>983.13974833456689</v>
      </c>
      <c r="L322" s="5">
        <f t="shared" si="69"/>
        <v>0.28984874971711916</v>
      </c>
      <c r="M322" s="5">
        <f t="shared" si="72"/>
        <v>0</v>
      </c>
      <c r="N322" s="5">
        <f t="shared" si="73"/>
        <v>11184</v>
      </c>
    </row>
    <row r="323" spans="1:14" ht="31.5" x14ac:dyDescent="0.25">
      <c r="A323" s="33" t="s">
        <v>765</v>
      </c>
      <c r="B323" s="34" t="s">
        <v>984</v>
      </c>
      <c r="C323" s="18" t="s">
        <v>354</v>
      </c>
      <c r="D323" s="32" t="s">
        <v>1426</v>
      </c>
      <c r="E323" s="5">
        <v>5.78</v>
      </c>
      <c r="F323" s="5">
        <v>8.0000000000000002E-3</v>
      </c>
      <c r="G323" s="5">
        <f t="shared" si="70"/>
        <v>5.7880000000000003</v>
      </c>
      <c r="H323" s="5">
        <v>7997.174</v>
      </c>
      <c r="I323" s="5"/>
      <c r="J323" s="5">
        <f t="shared" si="71"/>
        <v>7997.174</v>
      </c>
      <c r="K323" s="5">
        <f t="shared" si="68"/>
        <v>1381.6817553559088</v>
      </c>
      <c r="L323" s="5">
        <f t="shared" si="69"/>
        <v>0.40734669712548321</v>
      </c>
      <c r="M323" s="5">
        <f t="shared" si="72"/>
        <v>0</v>
      </c>
      <c r="N323" s="5">
        <f t="shared" si="73"/>
        <v>7737.6</v>
      </c>
    </row>
    <row r="324" spans="1:14" ht="31.5" x14ac:dyDescent="0.25">
      <c r="A324" s="33" t="s">
        <v>765</v>
      </c>
      <c r="B324" s="34" t="s">
        <v>984</v>
      </c>
      <c r="C324" s="18" t="s">
        <v>355</v>
      </c>
      <c r="D324" s="32" t="s">
        <v>1427</v>
      </c>
      <c r="E324" s="5">
        <v>2.7970000000000002</v>
      </c>
      <c r="F324" s="5">
        <v>8.9999999999999993E-3</v>
      </c>
      <c r="G324" s="5">
        <f t="shared" si="70"/>
        <v>2.806</v>
      </c>
      <c r="H324" s="5">
        <v>8664.7950000000001</v>
      </c>
      <c r="I324" s="5"/>
      <c r="J324" s="5">
        <f t="shared" ref="J324:J337" si="74">H324+I324</f>
        <v>8664.7950000000001</v>
      </c>
      <c r="K324" s="5">
        <f t="shared" ref="K324:K337" si="75">J324/G324</f>
        <v>3087.9526015680685</v>
      </c>
      <c r="L324" s="5">
        <f t="shared" si="69"/>
        <v>0.91038858134504408</v>
      </c>
      <c r="M324" s="5">
        <f t="shared" si="72"/>
        <v>0</v>
      </c>
      <c r="N324" s="5">
        <f t="shared" si="73"/>
        <v>0</v>
      </c>
    </row>
    <row r="325" spans="1:14" ht="15.75" x14ac:dyDescent="0.25">
      <c r="A325" s="33" t="s">
        <v>765</v>
      </c>
      <c r="B325" s="34" t="s">
        <v>984</v>
      </c>
      <c r="C325" s="18" t="s">
        <v>356</v>
      </c>
      <c r="D325" s="32" t="s">
        <v>1428</v>
      </c>
      <c r="E325" s="5">
        <v>4.05</v>
      </c>
      <c r="F325" s="5">
        <v>3.4000000000000002E-2</v>
      </c>
      <c r="G325" s="5">
        <f t="shared" si="70"/>
        <v>4.0839999999999996</v>
      </c>
      <c r="H325" s="5">
        <v>23562.508000000002</v>
      </c>
      <c r="I325" s="5"/>
      <c r="J325" s="5">
        <f t="shared" si="74"/>
        <v>23562.508000000002</v>
      </c>
      <c r="K325" s="5">
        <f t="shared" si="75"/>
        <v>5769.4681684622929</v>
      </c>
      <c r="L325" s="5">
        <f t="shared" si="69"/>
        <v>1.7009516073318509</v>
      </c>
      <c r="M325" s="5">
        <f t="shared" si="72"/>
        <v>4162.3999999999996</v>
      </c>
      <c r="N325" s="5">
        <f t="shared" si="73"/>
        <v>0</v>
      </c>
    </row>
    <row r="326" spans="1:14" ht="31.5" x14ac:dyDescent="0.25">
      <c r="A326" s="33" t="s">
        <v>765</v>
      </c>
      <c r="B326" s="34" t="s">
        <v>984</v>
      </c>
      <c r="C326" s="18" t="s">
        <v>357</v>
      </c>
      <c r="D326" s="32" t="s">
        <v>1088</v>
      </c>
      <c r="E326" s="5">
        <v>7.585</v>
      </c>
      <c r="F326" s="5">
        <v>4.5999999999999999E-2</v>
      </c>
      <c r="G326" s="5">
        <f t="shared" si="70"/>
        <v>7.6310000000000002</v>
      </c>
      <c r="H326" s="5">
        <v>18803.53</v>
      </c>
      <c r="I326" s="5"/>
      <c r="J326" s="5">
        <f t="shared" si="74"/>
        <v>18803.53</v>
      </c>
      <c r="K326" s="5">
        <f t="shared" si="75"/>
        <v>2464.0977591403484</v>
      </c>
      <c r="L326" s="5">
        <f t="shared" si="69"/>
        <v>0.72646402088559858</v>
      </c>
      <c r="M326" s="5">
        <f t="shared" si="72"/>
        <v>0</v>
      </c>
      <c r="N326" s="5">
        <f t="shared" si="73"/>
        <v>3593.4</v>
      </c>
    </row>
    <row r="327" spans="1:14" ht="31.5" x14ac:dyDescent="0.25">
      <c r="A327" s="33" t="s">
        <v>765</v>
      </c>
      <c r="B327" s="34" t="s">
        <v>984</v>
      </c>
      <c r="C327" s="18" t="s">
        <v>358</v>
      </c>
      <c r="D327" s="32" t="s">
        <v>1430</v>
      </c>
      <c r="E327" s="5">
        <v>5.0999999999999996</v>
      </c>
      <c r="F327" s="5">
        <v>1.2E-2</v>
      </c>
      <c r="G327" s="5">
        <f t="shared" si="70"/>
        <v>5.1119999999999992</v>
      </c>
      <c r="H327" s="5">
        <v>20259.494999999999</v>
      </c>
      <c r="I327" s="5"/>
      <c r="J327" s="5">
        <f t="shared" si="74"/>
        <v>20259.494999999999</v>
      </c>
      <c r="K327" s="5">
        <f t="shared" si="75"/>
        <v>3963.1250000000005</v>
      </c>
      <c r="L327" s="5">
        <f t="shared" si="69"/>
        <v>1.168406453068916</v>
      </c>
      <c r="M327" s="5">
        <f t="shared" si="72"/>
        <v>593.1</v>
      </c>
      <c r="N327" s="5">
        <f t="shared" si="73"/>
        <v>0</v>
      </c>
    </row>
    <row r="328" spans="1:14" ht="31.5" x14ac:dyDescent="0.25">
      <c r="A328" s="33" t="s">
        <v>765</v>
      </c>
      <c r="B328" s="34" t="s">
        <v>984</v>
      </c>
      <c r="C328" s="18" t="s">
        <v>359</v>
      </c>
      <c r="D328" s="32" t="s">
        <v>1431</v>
      </c>
      <c r="E328" s="5">
        <v>16.84</v>
      </c>
      <c r="F328" s="5">
        <v>6.8000000000000005E-2</v>
      </c>
      <c r="G328" s="5">
        <f t="shared" si="70"/>
        <v>16.908000000000001</v>
      </c>
      <c r="H328" s="5">
        <v>60881.762999999999</v>
      </c>
      <c r="I328" s="5"/>
      <c r="J328" s="5">
        <f t="shared" si="74"/>
        <v>60881.762999999999</v>
      </c>
      <c r="K328" s="5">
        <f t="shared" si="75"/>
        <v>3600.7666784953863</v>
      </c>
      <c r="L328" s="5">
        <f t="shared" si="69"/>
        <v>1.0615761610218035</v>
      </c>
      <c r="M328" s="5">
        <f t="shared" si="72"/>
        <v>0</v>
      </c>
      <c r="N328" s="5">
        <f t="shared" si="73"/>
        <v>0</v>
      </c>
    </row>
    <row r="329" spans="1:14" ht="31.5" x14ac:dyDescent="0.25">
      <c r="A329" s="33" t="s">
        <v>765</v>
      </c>
      <c r="B329" s="34" t="s">
        <v>984</v>
      </c>
      <c r="C329" s="18" t="s">
        <v>360</v>
      </c>
      <c r="D329" s="32" t="s">
        <v>2949</v>
      </c>
      <c r="E329" s="5">
        <v>9.6579999999999995</v>
      </c>
      <c r="F329" s="5">
        <v>5.8000000000000003E-2</v>
      </c>
      <c r="G329" s="5">
        <f t="shared" si="70"/>
        <v>9.7159999999999993</v>
      </c>
      <c r="H329" s="5">
        <v>91282.475999999995</v>
      </c>
      <c r="I329" s="5"/>
      <c r="J329" s="5">
        <f t="shared" si="74"/>
        <v>91282.475999999995</v>
      </c>
      <c r="K329" s="5">
        <f t="shared" si="75"/>
        <v>9395.0675174969128</v>
      </c>
      <c r="L329" s="5">
        <f t="shared" si="69"/>
        <v>2.769848923377777</v>
      </c>
      <c r="M329" s="5">
        <f t="shared" si="72"/>
        <v>27515.599999999999</v>
      </c>
      <c r="N329" s="5">
        <f t="shared" si="73"/>
        <v>0</v>
      </c>
    </row>
    <row r="330" spans="1:14" ht="15.75" x14ac:dyDescent="0.25">
      <c r="A330" s="33" t="s">
        <v>765</v>
      </c>
      <c r="B330" s="34" t="s">
        <v>984</v>
      </c>
      <c r="C330" s="18" t="s">
        <v>361</v>
      </c>
      <c r="D330" s="32" t="s">
        <v>1433</v>
      </c>
      <c r="E330" s="5">
        <v>6.8789999999999996</v>
      </c>
      <c r="F330" s="5">
        <v>2.9000000000000001E-2</v>
      </c>
      <c r="G330" s="5">
        <f t="shared" si="70"/>
        <v>6.9079999999999995</v>
      </c>
      <c r="H330" s="5">
        <v>34856.428999999996</v>
      </c>
      <c r="I330" s="5"/>
      <c r="J330" s="5">
        <f t="shared" si="74"/>
        <v>34856.428999999996</v>
      </c>
      <c r="K330" s="5">
        <f t="shared" si="75"/>
        <v>5045.8061667631728</v>
      </c>
      <c r="L330" s="5">
        <f t="shared" si="69"/>
        <v>1.4876019520406298</v>
      </c>
      <c r="M330" s="5">
        <f t="shared" si="72"/>
        <v>4541</v>
      </c>
      <c r="N330" s="5">
        <f t="shared" si="73"/>
        <v>0</v>
      </c>
    </row>
    <row r="331" spans="1:14" ht="31.5" x14ac:dyDescent="0.25">
      <c r="A331" s="33" t="s">
        <v>765</v>
      </c>
      <c r="B331" s="34" t="s">
        <v>985</v>
      </c>
      <c r="C331" s="18" t="s">
        <v>549</v>
      </c>
      <c r="D331" s="32" t="s">
        <v>1434</v>
      </c>
      <c r="E331" s="5">
        <v>21.579000000000001</v>
      </c>
      <c r="F331" s="5">
        <v>7.6999999999999999E-2</v>
      </c>
      <c r="G331" s="5">
        <f t="shared" si="70"/>
        <v>21.656000000000002</v>
      </c>
      <c r="H331" s="5">
        <v>39626.654999999999</v>
      </c>
      <c r="I331" s="5"/>
      <c r="J331" s="5">
        <f t="shared" si="74"/>
        <v>39626.654999999999</v>
      </c>
      <c r="K331" s="5">
        <f t="shared" si="75"/>
        <v>1829.8233745844104</v>
      </c>
      <c r="L331" s="5">
        <f t="shared" ref="L331:L362" si="76">K331/$K$1659</f>
        <v>0.5394675764304091</v>
      </c>
      <c r="M331" s="5">
        <f t="shared" si="72"/>
        <v>0</v>
      </c>
      <c r="N331" s="5">
        <f t="shared" si="73"/>
        <v>21186.400000000001</v>
      </c>
    </row>
    <row r="332" spans="1:14" ht="31.5" x14ac:dyDescent="0.25">
      <c r="A332" s="33" t="s">
        <v>765</v>
      </c>
      <c r="B332" s="34" t="s">
        <v>985</v>
      </c>
      <c r="C332" s="18" t="s">
        <v>680</v>
      </c>
      <c r="D332" s="32" t="s">
        <v>1435</v>
      </c>
      <c r="E332" s="5">
        <v>25.675000000000001</v>
      </c>
      <c r="F332" s="5">
        <v>0.12</v>
      </c>
      <c r="G332" s="5">
        <f t="shared" si="70"/>
        <v>25.795000000000002</v>
      </c>
      <c r="H332" s="5">
        <v>72705.096000000005</v>
      </c>
      <c r="I332" s="5">
        <f>(-98.084)*0.6</f>
        <v>-58.8504</v>
      </c>
      <c r="J332" s="5">
        <f t="shared" si="74"/>
        <v>72646.245600000009</v>
      </c>
      <c r="K332" s="5">
        <f t="shared" si="75"/>
        <v>2816.2917464624929</v>
      </c>
      <c r="L332" s="5">
        <f t="shared" si="76"/>
        <v>0.83029766921091397</v>
      </c>
      <c r="M332" s="5">
        <f t="shared" ref="M332:M363" si="77">ROUND(IF(L332&lt;110%,0,(K332-$K$1659*1.1)*0.5)*G332,1)</f>
        <v>0</v>
      </c>
      <c r="N332" s="5">
        <f t="shared" ref="N332:N365" si="78">ROUND(IF(L332&gt;90%,0,(-K332+$K$1659*0.9)*0.8)*G332,1)</f>
        <v>4878.8</v>
      </c>
    </row>
    <row r="333" spans="1:14" ht="31.5" x14ac:dyDescent="0.25">
      <c r="A333" s="33" t="s">
        <v>765</v>
      </c>
      <c r="B333" s="34" t="s">
        <v>984</v>
      </c>
      <c r="C333" s="18" t="s">
        <v>681</v>
      </c>
      <c r="D333" s="32" t="s">
        <v>1436</v>
      </c>
      <c r="E333" s="5">
        <v>7.8760000000000003</v>
      </c>
      <c r="F333" s="5">
        <v>6.9000000000000006E-2</v>
      </c>
      <c r="G333" s="5">
        <f t="shared" si="70"/>
        <v>7.9450000000000003</v>
      </c>
      <c r="H333" s="5">
        <v>12018.612999999999</v>
      </c>
      <c r="I333" s="5"/>
      <c r="J333" s="5">
        <f t="shared" si="74"/>
        <v>12018.612999999999</v>
      </c>
      <c r="K333" s="5">
        <f t="shared" si="75"/>
        <v>1512.7266205160477</v>
      </c>
      <c r="L333" s="5">
        <f t="shared" si="76"/>
        <v>0.4459812761747568</v>
      </c>
      <c r="M333" s="5">
        <f t="shared" si="77"/>
        <v>0</v>
      </c>
      <c r="N333" s="5">
        <f t="shared" si="78"/>
        <v>9788.2000000000007</v>
      </c>
    </row>
    <row r="334" spans="1:14" ht="15.75" x14ac:dyDescent="0.25">
      <c r="A334" s="33" t="s">
        <v>765</v>
      </c>
      <c r="B334" s="34" t="s">
        <v>984</v>
      </c>
      <c r="C334" s="18" t="s">
        <v>682</v>
      </c>
      <c r="D334" s="32" t="s">
        <v>1437</v>
      </c>
      <c r="E334" s="5">
        <v>3.867</v>
      </c>
      <c r="F334" s="5">
        <v>2.5999999999999999E-2</v>
      </c>
      <c r="G334" s="5">
        <f t="shared" si="70"/>
        <v>3.8929999999999998</v>
      </c>
      <c r="H334" s="5">
        <v>5506.6059999999998</v>
      </c>
      <c r="I334" s="5"/>
      <c r="J334" s="5">
        <f t="shared" si="74"/>
        <v>5506.6059999999998</v>
      </c>
      <c r="K334" s="5">
        <f t="shared" si="75"/>
        <v>1414.4890829694323</v>
      </c>
      <c r="L334" s="5">
        <f t="shared" si="76"/>
        <v>0.41701893640423093</v>
      </c>
      <c r="M334" s="5">
        <f t="shared" si="77"/>
        <v>0</v>
      </c>
      <c r="N334" s="5">
        <f t="shared" si="78"/>
        <v>5102.1000000000004</v>
      </c>
    </row>
    <row r="335" spans="1:14" ht="31.5" x14ac:dyDescent="0.25">
      <c r="A335" s="33" t="s">
        <v>765</v>
      </c>
      <c r="B335" s="34" t="s">
        <v>984</v>
      </c>
      <c r="C335" s="18" t="s">
        <v>683</v>
      </c>
      <c r="D335" s="32" t="s">
        <v>2950</v>
      </c>
      <c r="E335" s="5">
        <v>11.151</v>
      </c>
      <c r="F335" s="5">
        <v>0.02</v>
      </c>
      <c r="G335" s="5">
        <f t="shared" si="70"/>
        <v>11.170999999999999</v>
      </c>
      <c r="H335" s="5">
        <v>21601.909</v>
      </c>
      <c r="I335" s="5"/>
      <c r="J335" s="5">
        <f t="shared" si="74"/>
        <v>21601.909</v>
      </c>
      <c r="K335" s="5">
        <f t="shared" si="75"/>
        <v>1933.7489034106168</v>
      </c>
      <c r="L335" s="5">
        <f t="shared" si="76"/>
        <v>0.57010684683422908</v>
      </c>
      <c r="M335" s="5">
        <f t="shared" si="77"/>
        <v>0</v>
      </c>
      <c r="N335" s="5">
        <f t="shared" si="78"/>
        <v>10000</v>
      </c>
    </row>
    <row r="336" spans="1:14" ht="15.75" x14ac:dyDescent="0.25">
      <c r="A336" s="33" t="s">
        <v>765</v>
      </c>
      <c r="B336" s="34" t="s">
        <v>983</v>
      </c>
      <c r="C336" s="18" t="s">
        <v>684</v>
      </c>
      <c r="D336" s="32" t="s">
        <v>2951</v>
      </c>
      <c r="E336" s="5">
        <v>36.994999999999997</v>
      </c>
      <c r="F336" s="5">
        <v>0.24299999999999999</v>
      </c>
      <c r="G336" s="5">
        <f t="shared" si="70"/>
        <v>37.238</v>
      </c>
      <c r="H336" s="5">
        <v>85500.48599999999</v>
      </c>
      <c r="I336" s="5">
        <f>(-3046.3)*0.6</f>
        <v>-1827.78</v>
      </c>
      <c r="J336" s="5">
        <f t="shared" si="74"/>
        <v>83672.705999999991</v>
      </c>
      <c r="K336" s="5">
        <f t="shared" si="75"/>
        <v>2246.9709973682793</v>
      </c>
      <c r="L336" s="5">
        <f t="shared" si="76"/>
        <v>0.66245082180950521</v>
      </c>
      <c r="M336" s="5">
        <f t="shared" si="77"/>
        <v>0</v>
      </c>
      <c r="N336" s="5">
        <f t="shared" si="78"/>
        <v>24003.5</v>
      </c>
    </row>
    <row r="337" spans="1:14" ht="31.5" x14ac:dyDescent="0.25">
      <c r="A337" s="33" t="s">
        <v>765</v>
      </c>
      <c r="B337" s="34" t="s">
        <v>984</v>
      </c>
      <c r="C337" s="18" t="s">
        <v>685</v>
      </c>
      <c r="D337" s="32" t="s">
        <v>1440</v>
      </c>
      <c r="E337" s="5">
        <v>7.9240000000000004</v>
      </c>
      <c r="F337" s="5">
        <v>2.1999999999999999E-2</v>
      </c>
      <c r="G337" s="5">
        <f t="shared" si="70"/>
        <v>7.9460000000000006</v>
      </c>
      <c r="H337" s="5">
        <v>7256.7719999999999</v>
      </c>
      <c r="I337" s="5"/>
      <c r="J337" s="5">
        <f t="shared" si="74"/>
        <v>7256.7719999999999</v>
      </c>
      <c r="K337" s="5">
        <f t="shared" si="75"/>
        <v>913.26101182985144</v>
      </c>
      <c r="L337" s="5">
        <f t="shared" si="76"/>
        <v>0.26924713693316404</v>
      </c>
      <c r="M337" s="5">
        <f t="shared" si="77"/>
        <v>0</v>
      </c>
      <c r="N337" s="5">
        <f t="shared" si="78"/>
        <v>13600.1</v>
      </c>
    </row>
    <row r="338" spans="1:14" ht="31.5" x14ac:dyDescent="0.25">
      <c r="A338" s="33" t="s">
        <v>765</v>
      </c>
      <c r="B338" s="34" t="s">
        <v>985</v>
      </c>
      <c r="C338" s="18" t="s">
        <v>686</v>
      </c>
      <c r="D338" s="32" t="s">
        <v>1441</v>
      </c>
      <c r="E338" s="5">
        <v>14.032999999999999</v>
      </c>
      <c r="F338" s="5">
        <v>4.8000000000000001E-2</v>
      </c>
      <c r="G338" s="5">
        <f t="shared" si="70"/>
        <v>14.081</v>
      </c>
      <c r="H338" s="5">
        <v>26499.654999999999</v>
      </c>
      <c r="I338" s="5"/>
      <c r="J338" s="5">
        <f t="shared" ref="J338:J355" si="79">H338+I338</f>
        <v>26499.654999999999</v>
      </c>
      <c r="K338" s="5">
        <f t="shared" ref="K338:K366" si="80">J338/G338</f>
        <v>1881.9441090831617</v>
      </c>
      <c r="L338" s="5">
        <f t="shared" si="76"/>
        <v>0.55483378429088093</v>
      </c>
      <c r="M338" s="5">
        <f t="shared" si="77"/>
        <v>0</v>
      </c>
      <c r="N338" s="5">
        <f t="shared" si="78"/>
        <v>13188.5</v>
      </c>
    </row>
    <row r="339" spans="1:14" ht="31.5" x14ac:dyDescent="0.25">
      <c r="A339" s="33" t="s">
        <v>765</v>
      </c>
      <c r="B339" s="34" t="s">
        <v>983</v>
      </c>
      <c r="C339" s="18" t="s">
        <v>687</v>
      </c>
      <c r="D339" s="32" t="s">
        <v>1442</v>
      </c>
      <c r="E339" s="5">
        <v>25.518000000000001</v>
      </c>
      <c r="F339" s="5">
        <v>0.13300000000000001</v>
      </c>
      <c r="G339" s="5">
        <f t="shared" si="70"/>
        <v>25.651</v>
      </c>
      <c r="H339" s="5">
        <v>76917.146999999997</v>
      </c>
      <c r="I339" s="5"/>
      <c r="J339" s="5">
        <f t="shared" si="79"/>
        <v>76917.146999999997</v>
      </c>
      <c r="K339" s="5">
        <f t="shared" si="80"/>
        <v>2998.6022767143581</v>
      </c>
      <c r="L339" s="5">
        <f t="shared" si="76"/>
        <v>0.88404636500241573</v>
      </c>
      <c r="M339" s="5">
        <f t="shared" si="77"/>
        <v>0</v>
      </c>
      <c r="N339" s="5">
        <f t="shared" si="78"/>
        <v>1110.4000000000001</v>
      </c>
    </row>
    <row r="340" spans="1:14" ht="31.5" x14ac:dyDescent="0.25">
      <c r="A340" s="33" t="s">
        <v>765</v>
      </c>
      <c r="B340" s="34" t="s">
        <v>984</v>
      </c>
      <c r="C340" s="18" t="s">
        <v>688</v>
      </c>
      <c r="D340" s="32" t="s">
        <v>1443</v>
      </c>
      <c r="E340" s="5">
        <v>10.888</v>
      </c>
      <c r="F340" s="5">
        <v>4.2999999999999997E-2</v>
      </c>
      <c r="G340" s="5">
        <f t="shared" si="70"/>
        <v>10.930999999999999</v>
      </c>
      <c r="H340" s="5">
        <v>13513.794</v>
      </c>
      <c r="I340" s="5"/>
      <c r="J340" s="5">
        <f t="shared" si="79"/>
        <v>13513.794</v>
      </c>
      <c r="K340" s="5">
        <f t="shared" si="80"/>
        <v>1236.2815844844938</v>
      </c>
      <c r="L340" s="5">
        <f t="shared" si="76"/>
        <v>0.36447989430612121</v>
      </c>
      <c r="M340" s="5">
        <f t="shared" si="77"/>
        <v>0</v>
      </c>
      <c r="N340" s="5">
        <f t="shared" si="78"/>
        <v>15884.4</v>
      </c>
    </row>
    <row r="341" spans="1:14" ht="15.75" x14ac:dyDescent="0.25">
      <c r="A341" s="33" t="s">
        <v>765</v>
      </c>
      <c r="B341" s="34" t="s">
        <v>984</v>
      </c>
      <c r="C341" s="18" t="s">
        <v>689</v>
      </c>
      <c r="D341" s="32" t="s">
        <v>1444</v>
      </c>
      <c r="E341" s="5">
        <v>8.25</v>
      </c>
      <c r="F341" s="5">
        <v>2.5999999999999999E-2</v>
      </c>
      <c r="G341" s="5">
        <f t="shared" si="70"/>
        <v>8.2759999999999998</v>
      </c>
      <c r="H341" s="5">
        <v>73880.612999999998</v>
      </c>
      <c r="I341" s="5"/>
      <c r="J341" s="5">
        <f t="shared" si="79"/>
        <v>73880.612999999998</v>
      </c>
      <c r="K341" s="5">
        <f t="shared" si="80"/>
        <v>8927.0919526341222</v>
      </c>
      <c r="L341" s="5">
        <f t="shared" si="76"/>
        <v>2.6318806105276256</v>
      </c>
      <c r="M341" s="5">
        <f t="shared" si="77"/>
        <v>21501</v>
      </c>
      <c r="N341" s="5">
        <f t="shared" si="78"/>
        <v>0</v>
      </c>
    </row>
    <row r="342" spans="1:14" ht="31.5" x14ac:dyDescent="0.25">
      <c r="A342" s="33" t="s">
        <v>765</v>
      </c>
      <c r="B342" s="34" t="s">
        <v>984</v>
      </c>
      <c r="C342" s="18" t="s">
        <v>867</v>
      </c>
      <c r="D342" s="32" t="s">
        <v>1445</v>
      </c>
      <c r="E342" s="5">
        <v>6.4589999999999996</v>
      </c>
      <c r="F342" s="5">
        <v>5.7000000000000002E-2</v>
      </c>
      <c r="G342" s="5">
        <f t="shared" si="70"/>
        <v>6.516</v>
      </c>
      <c r="H342" s="5">
        <v>17338.271000000001</v>
      </c>
      <c r="I342" s="5"/>
      <c r="J342" s="5">
        <f t="shared" si="79"/>
        <v>17338.271000000001</v>
      </c>
      <c r="K342" s="5">
        <f t="shared" si="80"/>
        <v>2660.8764579496624</v>
      </c>
      <c r="L342" s="5">
        <f t="shared" si="76"/>
        <v>0.7844782146128485</v>
      </c>
      <c r="M342" s="5">
        <f t="shared" si="77"/>
        <v>0</v>
      </c>
      <c r="N342" s="5">
        <f t="shared" si="78"/>
        <v>2042.6</v>
      </c>
    </row>
    <row r="343" spans="1:14" ht="31.5" x14ac:dyDescent="0.25">
      <c r="A343" s="33" t="s">
        <v>765</v>
      </c>
      <c r="B343" s="34" t="s">
        <v>984</v>
      </c>
      <c r="C343" s="18" t="s">
        <v>868</v>
      </c>
      <c r="D343" s="32" t="s">
        <v>1446</v>
      </c>
      <c r="E343" s="5">
        <v>5.101</v>
      </c>
      <c r="F343" s="5">
        <v>5.3999999999999999E-2</v>
      </c>
      <c r="G343" s="5">
        <f t="shared" si="70"/>
        <v>5.1550000000000002</v>
      </c>
      <c r="H343" s="5">
        <v>10808.8</v>
      </c>
      <c r="I343" s="5"/>
      <c r="J343" s="5">
        <f t="shared" si="79"/>
        <v>10808.8</v>
      </c>
      <c r="K343" s="5">
        <f t="shared" si="80"/>
        <v>2096.7604267701258</v>
      </c>
      <c r="L343" s="5">
        <f t="shared" si="76"/>
        <v>0.61816581944242199</v>
      </c>
      <c r="M343" s="5">
        <f t="shared" si="77"/>
        <v>0</v>
      </c>
      <c r="N343" s="5">
        <f t="shared" si="78"/>
        <v>3942.4</v>
      </c>
    </row>
    <row r="344" spans="1:14" ht="31.5" x14ac:dyDescent="0.25">
      <c r="A344" s="33" t="s">
        <v>765</v>
      </c>
      <c r="B344" s="34" t="s">
        <v>985</v>
      </c>
      <c r="C344" s="18" t="s">
        <v>869</v>
      </c>
      <c r="D344" s="32" t="s">
        <v>1447</v>
      </c>
      <c r="E344" s="5">
        <v>9.657</v>
      </c>
      <c r="F344" s="5">
        <v>3.7999999999999999E-2</v>
      </c>
      <c r="G344" s="5">
        <f t="shared" si="70"/>
        <v>9.6950000000000003</v>
      </c>
      <c r="H344" s="5">
        <v>14018.767</v>
      </c>
      <c r="I344" s="5"/>
      <c r="J344" s="5">
        <f t="shared" si="79"/>
        <v>14018.767</v>
      </c>
      <c r="K344" s="5">
        <f t="shared" si="80"/>
        <v>1445.979061371841</v>
      </c>
      <c r="L344" s="5">
        <f t="shared" si="76"/>
        <v>0.426302795473116</v>
      </c>
      <c r="M344" s="5">
        <f t="shared" si="77"/>
        <v>0</v>
      </c>
      <c r="N344" s="5">
        <f t="shared" si="78"/>
        <v>12461.8</v>
      </c>
    </row>
    <row r="345" spans="1:14" ht="31.5" x14ac:dyDescent="0.25">
      <c r="A345" s="33" t="s">
        <v>765</v>
      </c>
      <c r="B345" s="34" t="s">
        <v>984</v>
      </c>
      <c r="C345" s="18" t="s">
        <v>870</v>
      </c>
      <c r="D345" s="32" t="s">
        <v>1448</v>
      </c>
      <c r="E345" s="5">
        <v>7.0469999999999997</v>
      </c>
      <c r="F345" s="5">
        <v>0.05</v>
      </c>
      <c r="G345" s="5">
        <f t="shared" si="70"/>
        <v>7.0969999999999995</v>
      </c>
      <c r="H345" s="5">
        <v>14477.98</v>
      </c>
      <c r="I345" s="5"/>
      <c r="J345" s="5">
        <f t="shared" si="79"/>
        <v>14477.98</v>
      </c>
      <c r="K345" s="5">
        <f t="shared" si="80"/>
        <v>2040.0140904607581</v>
      </c>
      <c r="L345" s="5">
        <f t="shared" si="76"/>
        <v>0.60143589405983022</v>
      </c>
      <c r="M345" s="5">
        <f t="shared" si="77"/>
        <v>0</v>
      </c>
      <c r="N345" s="5">
        <f t="shared" si="78"/>
        <v>5749.7</v>
      </c>
    </row>
    <row r="346" spans="1:14" ht="15.75" x14ac:dyDescent="0.25">
      <c r="A346" s="33" t="s">
        <v>765</v>
      </c>
      <c r="B346" s="34" t="s">
        <v>983</v>
      </c>
      <c r="C346" s="18" t="s">
        <v>871</v>
      </c>
      <c r="D346" s="32" t="s">
        <v>1449</v>
      </c>
      <c r="E346" s="5">
        <v>19.802</v>
      </c>
      <c r="F346" s="5">
        <v>0.126</v>
      </c>
      <c r="G346" s="5">
        <f t="shared" si="70"/>
        <v>19.928000000000001</v>
      </c>
      <c r="H346" s="5">
        <v>53236.705000000002</v>
      </c>
      <c r="I346" s="5"/>
      <c r="J346" s="5">
        <f t="shared" si="79"/>
        <v>53236.705000000002</v>
      </c>
      <c r="K346" s="5">
        <f t="shared" si="80"/>
        <v>2671.4524789241268</v>
      </c>
      <c r="L346" s="5">
        <f t="shared" si="76"/>
        <v>0.787596231620729</v>
      </c>
      <c r="M346" s="5">
        <f t="shared" si="77"/>
        <v>0</v>
      </c>
      <c r="N346" s="5">
        <f t="shared" si="78"/>
        <v>6078.2</v>
      </c>
    </row>
    <row r="347" spans="1:14" s="13" customFormat="1" ht="31.5" x14ac:dyDescent="0.25">
      <c r="A347" s="33" t="s">
        <v>765</v>
      </c>
      <c r="B347" s="34" t="s">
        <v>984</v>
      </c>
      <c r="C347" s="18" t="s">
        <v>872</v>
      </c>
      <c r="D347" s="32" t="s">
        <v>1450</v>
      </c>
      <c r="E347" s="5">
        <v>4.1890000000000001</v>
      </c>
      <c r="F347" s="5">
        <v>3.4000000000000002E-2</v>
      </c>
      <c r="G347" s="5">
        <f t="shared" si="70"/>
        <v>4.2229999999999999</v>
      </c>
      <c r="H347" s="5">
        <v>9410.6729999999989</v>
      </c>
      <c r="I347" s="5"/>
      <c r="J347" s="5">
        <f t="shared" si="79"/>
        <v>9410.6729999999989</v>
      </c>
      <c r="K347" s="5">
        <f t="shared" si="80"/>
        <v>2228.4331044281316</v>
      </c>
      <c r="L347" s="5">
        <f t="shared" si="76"/>
        <v>0.65698548984607497</v>
      </c>
      <c r="M347" s="5">
        <f t="shared" si="77"/>
        <v>0</v>
      </c>
      <c r="N347" s="5">
        <f t="shared" si="78"/>
        <v>2784.8</v>
      </c>
    </row>
    <row r="348" spans="1:14" s="13" customFormat="1" ht="31.5" x14ac:dyDescent="0.25">
      <c r="A348" s="33" t="s">
        <v>765</v>
      </c>
      <c r="B348" s="34" t="s">
        <v>986</v>
      </c>
      <c r="C348" s="30" t="s">
        <v>976</v>
      </c>
      <c r="D348" s="67" t="s">
        <v>2952</v>
      </c>
      <c r="E348" s="5">
        <v>265.12599999999998</v>
      </c>
      <c r="F348" s="5">
        <v>1.988</v>
      </c>
      <c r="G348" s="5">
        <f t="shared" si="70"/>
        <v>267.11399999999998</v>
      </c>
      <c r="H348" s="5">
        <v>1284254.1429999999</v>
      </c>
      <c r="I348" s="5">
        <f>(-378.13058-62.5006-144.05-6.7437-54)*0.6</f>
        <v>-387.25492800000001</v>
      </c>
      <c r="J348" s="5">
        <f t="shared" si="79"/>
        <v>1283866.8880719999</v>
      </c>
      <c r="K348" s="5">
        <f t="shared" si="80"/>
        <v>4806.4380304738797</v>
      </c>
      <c r="L348" s="5">
        <f t="shared" si="76"/>
        <v>1.4170315624870604</v>
      </c>
      <c r="M348" s="5">
        <f t="shared" si="77"/>
        <v>143619.4</v>
      </c>
      <c r="N348" s="5">
        <f t="shared" si="78"/>
        <v>0</v>
      </c>
    </row>
    <row r="349" spans="1:14" s="13" customFormat="1" ht="31.5" x14ac:dyDescent="0.25">
      <c r="A349" s="33" t="s">
        <v>765</v>
      </c>
      <c r="B349" s="34" t="s">
        <v>986</v>
      </c>
      <c r="C349" s="30" t="s">
        <v>977</v>
      </c>
      <c r="D349" s="32" t="s">
        <v>2953</v>
      </c>
      <c r="E349" s="5">
        <v>61.603000000000002</v>
      </c>
      <c r="F349" s="5">
        <v>0.23499999999999999</v>
      </c>
      <c r="G349" s="5">
        <f t="shared" si="70"/>
        <v>61.838000000000001</v>
      </c>
      <c r="H349" s="5">
        <v>249134.54200000002</v>
      </c>
      <c r="I349" s="5"/>
      <c r="J349" s="5">
        <f t="shared" si="79"/>
        <v>249134.54200000002</v>
      </c>
      <c r="K349" s="5">
        <f t="shared" si="80"/>
        <v>4028.8259969597984</v>
      </c>
      <c r="L349" s="5">
        <f t="shared" si="76"/>
        <v>1.1877763868511935</v>
      </c>
      <c r="M349" s="5">
        <f t="shared" si="77"/>
        <v>9205.5</v>
      </c>
      <c r="N349" s="5">
        <f t="shared" si="78"/>
        <v>0</v>
      </c>
    </row>
    <row r="350" spans="1:14" s="13" customFormat="1" ht="15.75" x14ac:dyDescent="0.25">
      <c r="A350" s="33" t="s">
        <v>765</v>
      </c>
      <c r="B350" s="34" t="s">
        <v>984</v>
      </c>
      <c r="C350" s="30" t="s">
        <v>1022</v>
      </c>
      <c r="D350" s="32" t="s">
        <v>2954</v>
      </c>
      <c r="E350" s="5">
        <v>4.9690000000000003</v>
      </c>
      <c r="F350" s="5">
        <v>2.8000000000000001E-2</v>
      </c>
      <c r="G350" s="5">
        <f t="shared" si="70"/>
        <v>4.9969999999999999</v>
      </c>
      <c r="H350" s="5">
        <v>12940.767</v>
      </c>
      <c r="I350" s="5"/>
      <c r="J350" s="5">
        <f t="shared" si="79"/>
        <v>12940.767</v>
      </c>
      <c r="K350" s="5">
        <f t="shared" si="80"/>
        <v>2589.7072243346006</v>
      </c>
      <c r="L350" s="5">
        <f t="shared" si="76"/>
        <v>0.7634961381414257</v>
      </c>
      <c r="M350" s="5">
        <f t="shared" si="77"/>
        <v>0</v>
      </c>
      <c r="N350" s="5">
        <f t="shared" si="78"/>
        <v>1850.9</v>
      </c>
    </row>
    <row r="351" spans="1:14" s="13" customFormat="1" ht="31.5" x14ac:dyDescent="0.25">
      <c r="A351" s="33" t="s">
        <v>765</v>
      </c>
      <c r="B351" s="34" t="s">
        <v>984</v>
      </c>
      <c r="C351" s="30" t="s">
        <v>1023</v>
      </c>
      <c r="D351" s="32" t="s">
        <v>2955</v>
      </c>
      <c r="E351" s="5">
        <v>1.8140000000000001</v>
      </c>
      <c r="F351" s="5">
        <v>0</v>
      </c>
      <c r="G351" s="5">
        <f t="shared" si="70"/>
        <v>1.8140000000000001</v>
      </c>
      <c r="H351" s="5">
        <v>5353.884</v>
      </c>
      <c r="I351" s="5"/>
      <c r="J351" s="5">
        <f t="shared" si="79"/>
        <v>5353.884</v>
      </c>
      <c r="K351" s="5">
        <f t="shared" si="80"/>
        <v>2951.4244762954795</v>
      </c>
      <c r="L351" s="5">
        <f t="shared" si="76"/>
        <v>0.87013743039878466</v>
      </c>
      <c r="M351" s="5">
        <f t="shared" si="77"/>
        <v>0</v>
      </c>
      <c r="N351" s="5">
        <f t="shared" si="78"/>
        <v>147</v>
      </c>
    </row>
    <row r="352" spans="1:14" s="13" customFormat="1" ht="31.5" x14ac:dyDescent="0.25">
      <c r="A352" s="33" t="s">
        <v>765</v>
      </c>
      <c r="B352" s="34" t="s">
        <v>984</v>
      </c>
      <c r="C352" s="30" t="s">
        <v>1038</v>
      </c>
      <c r="D352" s="32" t="s">
        <v>2956</v>
      </c>
      <c r="E352" s="5">
        <v>5.0339999999999998</v>
      </c>
      <c r="F352" s="5">
        <v>0.01</v>
      </c>
      <c r="G352" s="5">
        <f t="shared" si="70"/>
        <v>5.0439999999999996</v>
      </c>
      <c r="H352" s="5">
        <v>8274.1360000000004</v>
      </c>
      <c r="I352" s="5"/>
      <c r="J352" s="5">
        <f t="shared" si="79"/>
        <v>8274.1360000000004</v>
      </c>
      <c r="K352" s="5">
        <f t="shared" si="80"/>
        <v>1640.3917525773197</v>
      </c>
      <c r="L352" s="5">
        <f t="shared" si="76"/>
        <v>0.48361944406809493</v>
      </c>
      <c r="M352" s="5">
        <f t="shared" si="77"/>
        <v>0</v>
      </c>
      <c r="N352" s="5">
        <f t="shared" si="78"/>
        <v>5699</v>
      </c>
    </row>
    <row r="353" spans="1:14" s="12" customFormat="1" ht="31.5" x14ac:dyDescent="0.25">
      <c r="A353" s="33" t="s">
        <v>765</v>
      </c>
      <c r="B353" s="34" t="s">
        <v>983</v>
      </c>
      <c r="C353" s="30" t="s">
        <v>1456</v>
      </c>
      <c r="D353" s="32" t="s">
        <v>1457</v>
      </c>
      <c r="E353" s="5">
        <v>19.922999999999998</v>
      </c>
      <c r="F353" s="5">
        <v>0.105</v>
      </c>
      <c r="G353" s="5">
        <f t="shared" si="70"/>
        <v>20.027999999999999</v>
      </c>
      <c r="H353" s="5">
        <v>54516.898999999998</v>
      </c>
      <c r="I353" s="5"/>
      <c r="J353" s="5">
        <f t="shared" si="79"/>
        <v>54516.898999999998</v>
      </c>
      <c r="K353" s="5">
        <f t="shared" si="80"/>
        <v>2722.0341022568405</v>
      </c>
      <c r="L353" s="5">
        <f t="shared" si="76"/>
        <v>0.80250867952702609</v>
      </c>
      <c r="M353" s="5">
        <f t="shared" si="77"/>
        <v>0</v>
      </c>
      <c r="N353" s="5">
        <f t="shared" si="78"/>
        <v>5298.3</v>
      </c>
    </row>
    <row r="354" spans="1:14" ht="31.5" x14ac:dyDescent="0.25">
      <c r="A354" s="33" t="s">
        <v>765</v>
      </c>
      <c r="B354" s="34" t="s">
        <v>986</v>
      </c>
      <c r="C354" s="30" t="s">
        <v>1458</v>
      </c>
      <c r="D354" s="80" t="s">
        <v>1459</v>
      </c>
      <c r="E354" s="5">
        <v>75.236000000000004</v>
      </c>
      <c r="F354" s="5">
        <v>0.45200000000000001</v>
      </c>
      <c r="G354" s="5">
        <f>F354+E354</f>
        <v>75.688000000000002</v>
      </c>
      <c r="H354" s="5">
        <v>215072.66</v>
      </c>
      <c r="I354" s="5"/>
      <c r="J354" s="5">
        <f>H354+I354</f>
        <v>215072.66</v>
      </c>
      <c r="K354" s="5">
        <f>J354/G354</f>
        <v>2841.5688087939961</v>
      </c>
      <c r="L354" s="5">
        <f t="shared" si="76"/>
        <v>0.83774983959230587</v>
      </c>
      <c r="M354" s="5">
        <f t="shared" si="77"/>
        <v>0</v>
      </c>
      <c r="N354" s="5">
        <f t="shared" si="78"/>
        <v>12785</v>
      </c>
    </row>
    <row r="355" spans="1:14" ht="31.5" x14ac:dyDescent="0.25">
      <c r="A355" s="33" t="s">
        <v>765</v>
      </c>
      <c r="B355" s="34" t="s">
        <v>984</v>
      </c>
      <c r="C355" s="30" t="s">
        <v>1460</v>
      </c>
      <c r="D355" s="80" t="s">
        <v>1461</v>
      </c>
      <c r="E355" s="5">
        <v>9.06</v>
      </c>
      <c r="F355" s="5">
        <v>5.0999999999999997E-2</v>
      </c>
      <c r="G355" s="5">
        <f t="shared" si="70"/>
        <v>9.1110000000000007</v>
      </c>
      <c r="H355" s="5">
        <v>16616.242999999999</v>
      </c>
      <c r="I355" s="5"/>
      <c r="J355" s="5">
        <f t="shared" si="79"/>
        <v>16616.242999999999</v>
      </c>
      <c r="K355" s="5">
        <f t="shared" si="80"/>
        <v>1823.7562287344965</v>
      </c>
      <c r="L355" s="5">
        <f t="shared" si="76"/>
        <v>0.53767886364371942</v>
      </c>
      <c r="M355" s="5">
        <f t="shared" si="77"/>
        <v>0</v>
      </c>
      <c r="N355" s="5">
        <f t="shared" si="78"/>
        <v>8957.6</v>
      </c>
    </row>
    <row r="356" spans="1:14" ht="15.75" x14ac:dyDescent="0.25">
      <c r="A356" s="33" t="s">
        <v>765</v>
      </c>
      <c r="B356" s="34" t="s">
        <v>984</v>
      </c>
      <c r="C356" s="30" t="s">
        <v>1462</v>
      </c>
      <c r="D356" s="80" t="s">
        <v>1463</v>
      </c>
      <c r="E356" s="5">
        <v>5.4589999999999996</v>
      </c>
      <c r="F356" s="5">
        <v>1.7000000000000001E-2</v>
      </c>
      <c r="G356" s="5">
        <f t="shared" ref="G356:G365" si="81">F356+E356</f>
        <v>5.476</v>
      </c>
      <c r="H356" s="5">
        <v>16553.143</v>
      </c>
      <c r="I356" s="5"/>
      <c r="J356" s="5">
        <f t="shared" ref="J356:J365" si="82">H356+I356</f>
        <v>16553.143</v>
      </c>
      <c r="K356" s="5">
        <f t="shared" ref="K356:K365" si="83">J356/G356</f>
        <v>3022.8529948867786</v>
      </c>
      <c r="L356" s="5">
        <f t="shared" si="76"/>
        <v>0.89119594913216471</v>
      </c>
      <c r="M356" s="5">
        <f t="shared" si="77"/>
        <v>0</v>
      </c>
      <c r="N356" s="5">
        <f t="shared" si="78"/>
        <v>130.80000000000001</v>
      </c>
    </row>
    <row r="357" spans="1:14" ht="31.5" x14ac:dyDescent="0.25">
      <c r="A357" s="33" t="s">
        <v>765</v>
      </c>
      <c r="B357" s="34" t="s">
        <v>984</v>
      </c>
      <c r="C357" s="30" t="s">
        <v>1464</v>
      </c>
      <c r="D357" s="80" t="s">
        <v>1465</v>
      </c>
      <c r="E357" s="5">
        <v>4.79</v>
      </c>
      <c r="F357" s="5">
        <v>2.1000000000000001E-2</v>
      </c>
      <c r="G357" s="5">
        <f t="shared" si="81"/>
        <v>4.8109999999999999</v>
      </c>
      <c r="H357" s="5">
        <v>11518.721</v>
      </c>
      <c r="I357" s="5"/>
      <c r="J357" s="5">
        <f t="shared" si="82"/>
        <v>11518.721</v>
      </c>
      <c r="K357" s="5">
        <f t="shared" si="83"/>
        <v>2394.2467262523382</v>
      </c>
      <c r="L357" s="5">
        <f t="shared" si="76"/>
        <v>0.70587057566752442</v>
      </c>
      <c r="M357" s="5">
        <f t="shared" si="77"/>
        <v>0</v>
      </c>
      <c r="N357" s="5">
        <f t="shared" si="78"/>
        <v>2534.3000000000002</v>
      </c>
    </row>
    <row r="358" spans="1:14" ht="31.5" x14ac:dyDescent="0.25">
      <c r="A358" s="33" t="s">
        <v>765</v>
      </c>
      <c r="B358" s="34" t="s">
        <v>985</v>
      </c>
      <c r="C358" s="30" t="s">
        <v>1466</v>
      </c>
      <c r="D358" s="80" t="s">
        <v>1467</v>
      </c>
      <c r="E358" s="5">
        <v>3.64</v>
      </c>
      <c r="F358" s="5">
        <v>2.7E-2</v>
      </c>
      <c r="G358" s="5">
        <f t="shared" si="81"/>
        <v>3.6670000000000003</v>
      </c>
      <c r="H358" s="5">
        <v>14386.636</v>
      </c>
      <c r="I358" s="5"/>
      <c r="J358" s="5">
        <f t="shared" si="82"/>
        <v>14386.636</v>
      </c>
      <c r="K358" s="5">
        <f t="shared" si="83"/>
        <v>3923.2713389691844</v>
      </c>
      <c r="L358" s="5">
        <f t="shared" si="76"/>
        <v>1.1566568174336971</v>
      </c>
      <c r="M358" s="5">
        <f t="shared" si="77"/>
        <v>352.4</v>
      </c>
      <c r="N358" s="5">
        <f t="shared" si="78"/>
        <v>0</v>
      </c>
    </row>
    <row r="359" spans="1:14" ht="31.5" x14ac:dyDescent="0.25">
      <c r="A359" s="33" t="s">
        <v>765</v>
      </c>
      <c r="B359" s="34" t="s">
        <v>986</v>
      </c>
      <c r="C359" s="30" t="s">
        <v>1468</v>
      </c>
      <c r="D359" s="80" t="s">
        <v>1469</v>
      </c>
      <c r="E359" s="5">
        <v>72.581999999999994</v>
      </c>
      <c r="F359" s="5">
        <v>0.438</v>
      </c>
      <c r="G359" s="5">
        <f t="shared" si="81"/>
        <v>73.02</v>
      </c>
      <c r="H359" s="5">
        <v>240450.95599999998</v>
      </c>
      <c r="I359" s="5"/>
      <c r="J359" s="5">
        <f t="shared" si="82"/>
        <v>240450.95599999998</v>
      </c>
      <c r="K359" s="5">
        <f t="shared" si="83"/>
        <v>3292.9465351958365</v>
      </c>
      <c r="L359" s="5">
        <f t="shared" si="76"/>
        <v>0.97082478633243785</v>
      </c>
      <c r="M359" s="5">
        <f t="shared" si="77"/>
        <v>0</v>
      </c>
      <c r="N359" s="5">
        <f t="shared" si="78"/>
        <v>0</v>
      </c>
    </row>
    <row r="360" spans="1:14" ht="15.75" x14ac:dyDescent="0.25">
      <c r="A360" s="33" t="s">
        <v>765</v>
      </c>
      <c r="B360" s="34" t="s">
        <v>986</v>
      </c>
      <c r="C360" s="30" t="s">
        <v>1470</v>
      </c>
      <c r="D360" s="80" t="s">
        <v>1471</v>
      </c>
      <c r="E360" s="5">
        <v>37.402999999999999</v>
      </c>
      <c r="F360" s="5">
        <v>0.19900000000000001</v>
      </c>
      <c r="G360" s="5">
        <f t="shared" si="81"/>
        <v>37.601999999999997</v>
      </c>
      <c r="H360" s="5">
        <v>131443.997</v>
      </c>
      <c r="I360" s="5"/>
      <c r="J360" s="5">
        <f t="shared" si="82"/>
        <v>131443.997</v>
      </c>
      <c r="K360" s="5">
        <f t="shared" si="83"/>
        <v>3495.6650444125316</v>
      </c>
      <c r="L360" s="5">
        <f t="shared" si="76"/>
        <v>1.0305901518773797</v>
      </c>
      <c r="M360" s="5">
        <f t="shared" si="77"/>
        <v>0</v>
      </c>
      <c r="N360" s="5">
        <f t="shared" si="78"/>
        <v>0</v>
      </c>
    </row>
    <row r="361" spans="1:14" ht="31.5" x14ac:dyDescent="0.25">
      <c r="A361" s="33" t="s">
        <v>765</v>
      </c>
      <c r="B361" s="34" t="s">
        <v>985</v>
      </c>
      <c r="C361" s="30" t="s">
        <v>1472</v>
      </c>
      <c r="D361" s="80" t="s">
        <v>1473</v>
      </c>
      <c r="E361" s="5">
        <v>23.72</v>
      </c>
      <c r="F361" s="5">
        <v>0.13</v>
      </c>
      <c r="G361" s="5">
        <f t="shared" si="81"/>
        <v>23.849999999999998</v>
      </c>
      <c r="H361" s="5">
        <v>90412.877999999997</v>
      </c>
      <c r="I361" s="5"/>
      <c r="J361" s="5">
        <f t="shared" si="82"/>
        <v>90412.877999999997</v>
      </c>
      <c r="K361" s="5">
        <f t="shared" si="83"/>
        <v>3790.8963522012582</v>
      </c>
      <c r="L361" s="5">
        <f t="shared" si="76"/>
        <v>1.117630092623211</v>
      </c>
      <c r="M361" s="5">
        <f t="shared" si="77"/>
        <v>713.1</v>
      </c>
      <c r="N361" s="5">
        <f t="shared" si="78"/>
        <v>0</v>
      </c>
    </row>
    <row r="362" spans="1:14" ht="31.5" x14ac:dyDescent="0.25">
      <c r="A362" s="33" t="s">
        <v>765</v>
      </c>
      <c r="B362" s="34" t="s">
        <v>985</v>
      </c>
      <c r="C362" s="30" t="s">
        <v>1474</v>
      </c>
      <c r="D362" s="80" t="s">
        <v>1475</v>
      </c>
      <c r="E362" s="5">
        <v>18.724</v>
      </c>
      <c r="F362" s="5">
        <v>7.9000000000000001E-2</v>
      </c>
      <c r="G362" s="5">
        <f t="shared" si="81"/>
        <v>18.803000000000001</v>
      </c>
      <c r="H362" s="5">
        <v>38711.908000000003</v>
      </c>
      <c r="I362" s="5"/>
      <c r="J362" s="5">
        <f t="shared" si="82"/>
        <v>38711.908000000003</v>
      </c>
      <c r="K362" s="5">
        <f t="shared" si="83"/>
        <v>2058.8155081635909</v>
      </c>
      <c r="L362" s="5">
        <f t="shared" si="76"/>
        <v>0.60697891825685502</v>
      </c>
      <c r="M362" s="5">
        <f t="shared" si="77"/>
        <v>0</v>
      </c>
      <c r="N362" s="5">
        <f t="shared" si="78"/>
        <v>14950.6</v>
      </c>
    </row>
    <row r="363" spans="1:14" ht="31.5" x14ac:dyDescent="0.25">
      <c r="A363" s="33" t="s">
        <v>765</v>
      </c>
      <c r="B363" s="34" t="s">
        <v>985</v>
      </c>
      <c r="C363" s="30" t="s">
        <v>1476</v>
      </c>
      <c r="D363" s="80" t="s">
        <v>1477</v>
      </c>
      <c r="E363" s="5">
        <v>19.850000000000001</v>
      </c>
      <c r="F363" s="5">
        <v>9.6000000000000002E-2</v>
      </c>
      <c r="G363" s="5">
        <f t="shared" si="81"/>
        <v>19.946000000000002</v>
      </c>
      <c r="H363" s="5">
        <v>52753.891000000003</v>
      </c>
      <c r="I363" s="5"/>
      <c r="J363" s="5">
        <f t="shared" si="82"/>
        <v>52753.891000000003</v>
      </c>
      <c r="K363" s="5">
        <f t="shared" si="83"/>
        <v>2644.8356061365689</v>
      </c>
      <c r="L363" s="5">
        <f>K363/$K$1659</f>
        <v>0.77974905901691327</v>
      </c>
      <c r="M363" s="5">
        <f t="shared" si="77"/>
        <v>0</v>
      </c>
      <c r="N363" s="5">
        <f t="shared" si="78"/>
        <v>6508.5</v>
      </c>
    </row>
    <row r="364" spans="1:14" ht="31.5" x14ac:dyDescent="0.25">
      <c r="A364" s="33" t="s">
        <v>765</v>
      </c>
      <c r="B364" s="34" t="s">
        <v>985</v>
      </c>
      <c r="C364" s="30" t="s">
        <v>1478</v>
      </c>
      <c r="D364" s="80" t="s">
        <v>1479</v>
      </c>
      <c r="E364" s="5">
        <v>19.841999999999999</v>
      </c>
      <c r="F364" s="5">
        <v>6.7000000000000004E-2</v>
      </c>
      <c r="G364" s="5">
        <f t="shared" si="81"/>
        <v>19.908999999999999</v>
      </c>
      <c r="H364" s="5">
        <v>46334.603999999999</v>
      </c>
      <c r="I364" s="5"/>
      <c r="J364" s="5">
        <f t="shared" si="82"/>
        <v>46334.603999999999</v>
      </c>
      <c r="K364" s="5">
        <f t="shared" si="83"/>
        <v>2327.3195037420264</v>
      </c>
      <c r="L364" s="5">
        <f>K364/$K$1659</f>
        <v>0.68613912670565025</v>
      </c>
      <c r="M364" s="5">
        <f>ROUND(IF(L364&lt;110%,0,(K364-$K$1659*1.1)*0.5)*G364,1)</f>
        <v>0</v>
      </c>
      <c r="N364" s="5">
        <f t="shared" si="78"/>
        <v>11553.5</v>
      </c>
    </row>
    <row r="365" spans="1:14" ht="15.75" x14ac:dyDescent="0.25">
      <c r="A365" s="33" t="s">
        <v>765</v>
      </c>
      <c r="B365" s="34" t="s">
        <v>984</v>
      </c>
      <c r="C365" s="30" t="s">
        <v>1480</v>
      </c>
      <c r="D365" s="80" t="s">
        <v>1481</v>
      </c>
      <c r="E365" s="5">
        <v>7.9050000000000002</v>
      </c>
      <c r="F365" s="5">
        <v>3.9E-2</v>
      </c>
      <c r="G365" s="5">
        <f t="shared" si="81"/>
        <v>7.944</v>
      </c>
      <c r="H365" s="5">
        <v>15440.441999999999</v>
      </c>
      <c r="I365" s="5"/>
      <c r="J365" s="5">
        <f t="shared" si="82"/>
        <v>15440.441999999999</v>
      </c>
      <c r="K365" s="5">
        <f t="shared" si="83"/>
        <v>1943.6608761329305</v>
      </c>
      <c r="L365" s="5">
        <f>K365/$K$1659</f>
        <v>0.57302908948148201</v>
      </c>
      <c r="M365" s="5">
        <f>ROUND(IF(L365&lt;110%,0,(K365-$K$1659*1.1)*0.5)*G365,1)</f>
        <v>0</v>
      </c>
      <c r="N365" s="5">
        <f t="shared" si="78"/>
        <v>7048.3</v>
      </c>
    </row>
    <row r="366" spans="1:14" ht="15.75" x14ac:dyDescent="0.25">
      <c r="A366" s="17" t="s">
        <v>769</v>
      </c>
      <c r="B366" s="17" t="s">
        <v>7</v>
      </c>
      <c r="C366" s="17" t="s">
        <v>770</v>
      </c>
      <c r="D366" s="11" t="s">
        <v>843</v>
      </c>
      <c r="E366" s="11">
        <f t="shared" ref="E366:J366" si="84">E367+E368+E375</f>
        <v>1250.1289999999995</v>
      </c>
      <c r="F366" s="11">
        <f t="shared" si="84"/>
        <v>3.3779999999999983</v>
      </c>
      <c r="G366" s="11">
        <f t="shared" si="84"/>
        <v>1253.3490000000002</v>
      </c>
      <c r="H366" s="11">
        <f t="shared" si="84"/>
        <v>2775519.5131500009</v>
      </c>
      <c r="I366" s="11">
        <f t="shared" si="84"/>
        <v>-128.66699999999946</v>
      </c>
      <c r="J366" s="11">
        <f t="shared" si="84"/>
        <v>2775390.8461500006</v>
      </c>
      <c r="K366" s="11">
        <f t="shared" si="80"/>
        <v>2214.3799102644198</v>
      </c>
      <c r="L366" s="11">
        <f>K366/$K$1659</f>
        <v>0.65284233444544759</v>
      </c>
      <c r="M366" s="11">
        <f>M367+M368+M375</f>
        <v>188462</v>
      </c>
      <c r="N366" s="11">
        <f>N367+N368+N375</f>
        <v>1296340.0999999999</v>
      </c>
    </row>
    <row r="367" spans="1:14" ht="15.75" x14ac:dyDescent="0.25">
      <c r="A367" s="33" t="s">
        <v>769</v>
      </c>
      <c r="B367" s="34" t="s">
        <v>6</v>
      </c>
      <c r="C367" s="18" t="s">
        <v>79</v>
      </c>
      <c r="D367" s="32" t="s">
        <v>844</v>
      </c>
      <c r="E367" s="5">
        <v>0</v>
      </c>
      <c r="F367" s="5">
        <v>0.158</v>
      </c>
      <c r="G367" s="5"/>
      <c r="H367" s="49"/>
      <c r="I367" s="49"/>
      <c r="J367" s="5"/>
      <c r="K367" s="5"/>
      <c r="L367" s="5"/>
      <c r="M367" s="5"/>
      <c r="N367" s="5"/>
    </row>
    <row r="368" spans="1:14" ht="15.75" x14ac:dyDescent="0.25">
      <c r="A368" s="19" t="s">
        <v>769</v>
      </c>
      <c r="B368" s="19" t="s">
        <v>5</v>
      </c>
      <c r="C368" s="19" t="s">
        <v>771</v>
      </c>
      <c r="D368" s="7" t="s">
        <v>2799</v>
      </c>
      <c r="E368" s="7">
        <f t="shared" ref="E368:J368" si="85">SUM(E369:E374)</f>
        <v>0</v>
      </c>
      <c r="F368" s="7">
        <f t="shared" si="85"/>
        <v>0</v>
      </c>
      <c r="G368" s="7">
        <f t="shared" si="85"/>
        <v>0</v>
      </c>
      <c r="H368" s="7">
        <f t="shared" si="85"/>
        <v>0</v>
      </c>
      <c r="I368" s="7">
        <f t="shared" si="85"/>
        <v>0</v>
      </c>
      <c r="J368" s="7">
        <f t="shared" si="85"/>
        <v>0</v>
      </c>
      <c r="K368" s="7" t="e">
        <f>J368/G368</f>
        <v>#DIV/0!</v>
      </c>
      <c r="L368" s="7" t="e">
        <f>K368/$K$1659</f>
        <v>#DIV/0!</v>
      </c>
      <c r="M368" s="7">
        <f>SUM(M369:M374)</f>
        <v>0</v>
      </c>
      <c r="N368" s="7">
        <f>SUM(N369:N374)</f>
        <v>0</v>
      </c>
    </row>
    <row r="369" spans="1:14" ht="15.75" x14ac:dyDescent="0.25">
      <c r="A369" s="33" t="s">
        <v>769</v>
      </c>
      <c r="B369" s="34" t="s">
        <v>4</v>
      </c>
      <c r="C369" s="18" t="s">
        <v>80</v>
      </c>
      <c r="D369" s="32" t="s">
        <v>900</v>
      </c>
      <c r="E369" s="5"/>
      <c r="F369" s="5"/>
      <c r="G369" s="5"/>
      <c r="H369" s="49"/>
      <c r="I369" s="49"/>
      <c r="J369" s="5"/>
      <c r="K369" s="5"/>
      <c r="L369" s="5"/>
      <c r="M369" s="5"/>
      <c r="N369" s="5"/>
    </row>
    <row r="370" spans="1:14" ht="15.75" x14ac:dyDescent="0.25">
      <c r="A370" s="33" t="s">
        <v>769</v>
      </c>
      <c r="B370" s="34" t="s">
        <v>4</v>
      </c>
      <c r="C370" s="18" t="s">
        <v>81</v>
      </c>
      <c r="D370" s="32" t="s">
        <v>901</v>
      </c>
      <c r="E370" s="5"/>
      <c r="F370" s="5"/>
      <c r="G370" s="5"/>
      <c r="H370" s="49"/>
      <c r="I370" s="49"/>
      <c r="J370" s="5"/>
      <c r="K370" s="5"/>
      <c r="L370" s="5"/>
      <c r="M370" s="5"/>
      <c r="N370" s="5"/>
    </row>
    <row r="371" spans="1:14" ht="15.75" x14ac:dyDescent="0.25">
      <c r="A371" s="33" t="s">
        <v>769</v>
      </c>
      <c r="B371" s="34" t="s">
        <v>4</v>
      </c>
      <c r="C371" s="18" t="s">
        <v>2741</v>
      </c>
      <c r="D371" s="32" t="s">
        <v>2742</v>
      </c>
      <c r="E371" s="5"/>
      <c r="F371" s="5"/>
      <c r="G371" s="5"/>
      <c r="H371" s="49"/>
      <c r="I371" s="49"/>
      <c r="J371" s="5"/>
      <c r="K371" s="5"/>
      <c r="L371" s="5"/>
      <c r="M371" s="5"/>
      <c r="N371" s="5"/>
    </row>
    <row r="372" spans="1:14" ht="15.75" x14ac:dyDescent="0.25">
      <c r="A372" s="33" t="s">
        <v>769</v>
      </c>
      <c r="B372" s="34" t="s">
        <v>4</v>
      </c>
      <c r="C372" s="18" t="s">
        <v>82</v>
      </c>
      <c r="D372" s="32" t="s">
        <v>902</v>
      </c>
      <c r="E372" s="5"/>
      <c r="F372" s="5"/>
      <c r="G372" s="5"/>
      <c r="H372" s="49"/>
      <c r="I372" s="49"/>
      <c r="J372" s="5"/>
      <c r="K372" s="5"/>
      <c r="L372" s="5"/>
      <c r="M372" s="5"/>
      <c r="N372" s="5"/>
    </row>
    <row r="373" spans="1:14" ht="15.75" x14ac:dyDescent="0.25">
      <c r="A373" s="33" t="s">
        <v>769</v>
      </c>
      <c r="B373" s="34" t="s">
        <v>4</v>
      </c>
      <c r="C373" s="18" t="s">
        <v>83</v>
      </c>
      <c r="D373" s="32" t="s">
        <v>903</v>
      </c>
      <c r="E373" s="5"/>
      <c r="F373" s="5"/>
      <c r="G373" s="5"/>
      <c r="H373" s="49"/>
      <c r="I373" s="49"/>
      <c r="J373" s="5"/>
      <c r="K373" s="5"/>
      <c r="L373" s="5"/>
      <c r="M373" s="5"/>
      <c r="N373" s="5"/>
    </row>
    <row r="374" spans="1:14" ht="15.75" x14ac:dyDescent="0.25">
      <c r="A374" s="33" t="s">
        <v>769</v>
      </c>
      <c r="B374" s="34" t="s">
        <v>4</v>
      </c>
      <c r="C374" s="18" t="s">
        <v>84</v>
      </c>
      <c r="D374" s="32" t="s">
        <v>904</v>
      </c>
      <c r="E374" s="5"/>
      <c r="F374" s="5"/>
      <c r="G374" s="5"/>
      <c r="H374" s="49"/>
      <c r="I374" s="49"/>
      <c r="J374" s="5"/>
      <c r="K374" s="5"/>
      <c r="L374" s="5"/>
      <c r="M374" s="5"/>
      <c r="N374" s="5"/>
    </row>
    <row r="375" spans="1:14" ht="31.5" x14ac:dyDescent="0.25">
      <c r="A375" s="19" t="s">
        <v>769</v>
      </c>
      <c r="B375" s="19" t="s">
        <v>28</v>
      </c>
      <c r="C375" s="19" t="s">
        <v>772</v>
      </c>
      <c r="D375" s="20" t="s">
        <v>2773</v>
      </c>
      <c r="E375" s="7">
        <f t="shared" ref="E375:J375" si="86">SUM(E376:E439)</f>
        <v>1250.1289999999995</v>
      </c>
      <c r="F375" s="7">
        <f t="shared" si="86"/>
        <v>3.2199999999999984</v>
      </c>
      <c r="G375" s="7">
        <f t="shared" si="86"/>
        <v>1253.3490000000002</v>
      </c>
      <c r="H375" s="7">
        <f t="shared" si="86"/>
        <v>2775519.5131500009</v>
      </c>
      <c r="I375" s="7">
        <f t="shared" si="86"/>
        <v>-128.66699999999946</v>
      </c>
      <c r="J375" s="7">
        <f t="shared" si="86"/>
        <v>2775390.8461500006</v>
      </c>
      <c r="K375" s="7">
        <f>J375/G375</f>
        <v>2214.3799102644198</v>
      </c>
      <c r="L375" s="7">
        <f t="shared" ref="L375:L406" si="87">K375/$K$1659</f>
        <v>0.65284233444544759</v>
      </c>
      <c r="M375" s="7">
        <f>SUM(M376:M439)</f>
        <v>188462</v>
      </c>
      <c r="N375" s="7">
        <f>SUM(N376:N439)</f>
        <v>1296340.0999999999</v>
      </c>
    </row>
    <row r="376" spans="1:14" ht="31.5" x14ac:dyDescent="0.25">
      <c r="A376" s="33" t="s">
        <v>769</v>
      </c>
      <c r="B376" s="34" t="s">
        <v>984</v>
      </c>
      <c r="C376" s="18" t="s">
        <v>230</v>
      </c>
      <c r="D376" s="32" t="s">
        <v>1482</v>
      </c>
      <c r="E376" s="5">
        <v>12.428000000000001</v>
      </c>
      <c r="F376" s="5">
        <v>5.0000000000000001E-3</v>
      </c>
      <c r="G376" s="5">
        <f t="shared" ref="G376:G389" si="88">F376+E376</f>
        <v>12.433000000000002</v>
      </c>
      <c r="H376" s="49">
        <v>9421.5151900000001</v>
      </c>
      <c r="I376" s="49"/>
      <c r="J376" s="5">
        <f>H376+I376</f>
        <v>9421.5151900000001</v>
      </c>
      <c r="K376" s="5">
        <f>J376/G376</f>
        <v>757.78293171398684</v>
      </c>
      <c r="L376" s="5">
        <f t="shared" si="87"/>
        <v>0.22340917014732156</v>
      </c>
      <c r="M376" s="5">
        <f t="shared" ref="M376:M407" si="89">ROUND(IF(L376&lt;110%,0,(K376-$K$1659*1.1)*0.5)*G376,1)</f>
        <v>0</v>
      </c>
      <c r="N376" s="5">
        <f t="shared" ref="N376:N407" si="90">ROUND(IF(L376&gt;90%,0,(-K376+$K$1659*0.9)*0.8)*G376,1)</f>
        <v>22826.3</v>
      </c>
    </row>
    <row r="377" spans="1:14" ht="15.75" x14ac:dyDescent="0.25">
      <c r="A377" s="33" t="s">
        <v>769</v>
      </c>
      <c r="B377" s="34" t="s">
        <v>983</v>
      </c>
      <c r="C377" s="18" t="s">
        <v>231</v>
      </c>
      <c r="D377" s="32" t="s">
        <v>1483</v>
      </c>
      <c r="E377" s="5">
        <v>19.463000000000001</v>
      </c>
      <c r="F377" s="5">
        <v>3.6999999999999998E-2</v>
      </c>
      <c r="G377" s="5">
        <f t="shared" si="88"/>
        <v>19.5</v>
      </c>
      <c r="H377" s="49">
        <v>76820.007979999995</v>
      </c>
      <c r="I377" s="49"/>
      <c r="J377" s="5">
        <f t="shared" ref="J377:J389" si="91">H377+I377</f>
        <v>76820.007979999995</v>
      </c>
      <c r="K377" s="5">
        <f t="shared" ref="K377:K389" si="92">J377/G377</f>
        <v>3939.4875887179483</v>
      </c>
      <c r="L377" s="5">
        <f t="shared" si="87"/>
        <v>1.1614376837578813</v>
      </c>
      <c r="M377" s="5">
        <f t="shared" si="89"/>
        <v>2031.8</v>
      </c>
      <c r="N377" s="5">
        <f t="shared" si="90"/>
        <v>0</v>
      </c>
    </row>
    <row r="378" spans="1:14" ht="15.75" x14ac:dyDescent="0.25">
      <c r="A378" s="33" t="s">
        <v>769</v>
      </c>
      <c r="B378" s="34" t="s">
        <v>984</v>
      </c>
      <c r="C378" s="18" t="s">
        <v>362</v>
      </c>
      <c r="D378" s="32" t="s">
        <v>2957</v>
      </c>
      <c r="E378" s="5">
        <v>13.792</v>
      </c>
      <c r="F378" s="5">
        <v>2.1999999999999999E-2</v>
      </c>
      <c r="G378" s="5">
        <f t="shared" si="88"/>
        <v>13.814</v>
      </c>
      <c r="H378" s="49">
        <v>21730.774402000003</v>
      </c>
      <c r="I378" s="49"/>
      <c r="J378" s="5">
        <f t="shared" si="91"/>
        <v>21730.774402000003</v>
      </c>
      <c r="K378" s="5">
        <f t="shared" si="92"/>
        <v>1573.09790082525</v>
      </c>
      <c r="L378" s="5">
        <f t="shared" si="87"/>
        <v>0.46377990566368393</v>
      </c>
      <c r="M378" s="5">
        <f t="shared" si="89"/>
        <v>0</v>
      </c>
      <c r="N378" s="5">
        <f t="shared" si="90"/>
        <v>16351.6</v>
      </c>
    </row>
    <row r="379" spans="1:14" ht="15.75" x14ac:dyDescent="0.25">
      <c r="A379" s="33" t="s">
        <v>769</v>
      </c>
      <c r="B379" s="34" t="s">
        <v>983</v>
      </c>
      <c r="C379" s="18" t="s">
        <v>474</v>
      </c>
      <c r="D379" s="32" t="s">
        <v>1485</v>
      </c>
      <c r="E379" s="5">
        <v>35.893000000000001</v>
      </c>
      <c r="F379" s="5">
        <v>0.03</v>
      </c>
      <c r="G379" s="5">
        <f t="shared" si="88"/>
        <v>35.923000000000002</v>
      </c>
      <c r="H379" s="49">
        <v>65308.707387999995</v>
      </c>
      <c r="I379" s="49"/>
      <c r="J379" s="5">
        <f t="shared" si="91"/>
        <v>65308.707387999995</v>
      </c>
      <c r="K379" s="5">
        <f t="shared" si="92"/>
        <v>1818.0193020627451</v>
      </c>
      <c r="L379" s="5">
        <f t="shared" si="87"/>
        <v>0.53598750590353772</v>
      </c>
      <c r="M379" s="5">
        <f t="shared" si="89"/>
        <v>0</v>
      </c>
      <c r="N379" s="5">
        <f t="shared" si="90"/>
        <v>35483.199999999997</v>
      </c>
    </row>
    <row r="380" spans="1:14" ht="15.75" x14ac:dyDescent="0.25">
      <c r="A380" s="33" t="s">
        <v>769</v>
      </c>
      <c r="B380" s="34" t="s">
        <v>983</v>
      </c>
      <c r="C380" s="18" t="s">
        <v>475</v>
      </c>
      <c r="D380" s="32" t="s">
        <v>1486</v>
      </c>
      <c r="E380" s="5">
        <v>12.497</v>
      </c>
      <c r="F380" s="5">
        <v>3.5000000000000003E-2</v>
      </c>
      <c r="G380" s="5">
        <f t="shared" si="88"/>
        <v>12.532</v>
      </c>
      <c r="H380" s="49">
        <v>36740.335220000001</v>
      </c>
      <c r="I380" s="49"/>
      <c r="J380" s="5">
        <f t="shared" si="91"/>
        <v>36740.335220000001</v>
      </c>
      <c r="K380" s="5">
        <f t="shared" si="92"/>
        <v>2931.7216102776893</v>
      </c>
      <c r="L380" s="5">
        <f t="shared" si="87"/>
        <v>0.86432864167798018</v>
      </c>
      <c r="M380" s="5">
        <f t="shared" si="89"/>
        <v>0</v>
      </c>
      <c r="N380" s="5">
        <f t="shared" si="90"/>
        <v>1213</v>
      </c>
    </row>
    <row r="381" spans="1:14" ht="31.5" x14ac:dyDescent="0.25">
      <c r="A381" s="33" t="s">
        <v>769</v>
      </c>
      <c r="B381" s="34" t="s">
        <v>984</v>
      </c>
      <c r="C381" s="18" t="s">
        <v>550</v>
      </c>
      <c r="D381" s="32" t="s">
        <v>1487</v>
      </c>
      <c r="E381" s="5">
        <v>10.778</v>
      </c>
      <c r="F381" s="5">
        <v>1.7999999999999999E-2</v>
      </c>
      <c r="G381" s="5">
        <f t="shared" si="88"/>
        <v>10.796000000000001</v>
      </c>
      <c r="H381" s="49">
        <v>21476.475151999999</v>
      </c>
      <c r="I381" s="86">
        <f>(3.16)*0.6</f>
        <v>1.8959999999999999</v>
      </c>
      <c r="J381" s="5">
        <f t="shared" si="91"/>
        <v>21478.371152</v>
      </c>
      <c r="K381" s="5">
        <f t="shared" si="92"/>
        <v>1989.4749121896996</v>
      </c>
      <c r="L381" s="5">
        <f t="shared" si="87"/>
        <v>0.58653595978455375</v>
      </c>
      <c r="M381" s="5">
        <f t="shared" si="89"/>
        <v>0</v>
      </c>
      <c r="N381" s="5">
        <f t="shared" si="90"/>
        <v>9183</v>
      </c>
    </row>
    <row r="382" spans="1:14" ht="15.75" x14ac:dyDescent="0.25">
      <c r="A382" s="33" t="s">
        <v>769</v>
      </c>
      <c r="B382" s="34" t="s">
        <v>986</v>
      </c>
      <c r="C382" s="30" t="s">
        <v>978</v>
      </c>
      <c r="D382" s="32" t="s">
        <v>2958</v>
      </c>
      <c r="E382" s="5">
        <v>110.483</v>
      </c>
      <c r="F382" s="5">
        <v>0.68700000000000006</v>
      </c>
      <c r="G382" s="5">
        <f t="shared" si="88"/>
        <v>111.17</v>
      </c>
      <c r="H382" s="49">
        <v>451958.00722599996</v>
      </c>
      <c r="I382" s="49"/>
      <c r="J382" s="5">
        <f t="shared" si="91"/>
        <v>451958.00722599996</v>
      </c>
      <c r="K382" s="5">
        <f t="shared" si="92"/>
        <v>4065.467367329315</v>
      </c>
      <c r="L382" s="5">
        <f t="shared" si="87"/>
        <v>1.1985789766229094</v>
      </c>
      <c r="M382" s="5">
        <f t="shared" si="89"/>
        <v>18586</v>
      </c>
      <c r="N382" s="5">
        <f t="shared" si="90"/>
        <v>0</v>
      </c>
    </row>
    <row r="383" spans="1:14" s="13" customFormat="1" ht="31.5" x14ac:dyDescent="0.25">
      <c r="A383" s="33" t="s">
        <v>769</v>
      </c>
      <c r="B383" s="34" t="s">
        <v>985</v>
      </c>
      <c r="C383" s="30" t="s">
        <v>1489</v>
      </c>
      <c r="D383" s="32" t="s">
        <v>2959</v>
      </c>
      <c r="E383" s="86">
        <v>9.9730000000000008</v>
      </c>
      <c r="F383" s="86">
        <v>7.0000000000000001E-3</v>
      </c>
      <c r="G383" s="86">
        <f>F383+E383</f>
        <v>9.98</v>
      </c>
      <c r="H383" s="86">
        <v>29499.255191999997</v>
      </c>
      <c r="I383" s="86"/>
      <c r="J383" s="5">
        <f>H383+I383</f>
        <v>29499.255191999997</v>
      </c>
      <c r="K383" s="5">
        <f>J383/G383</f>
        <v>2955.8371935871737</v>
      </c>
      <c r="L383" s="5">
        <f t="shared" si="87"/>
        <v>0.87143838541766105</v>
      </c>
      <c r="M383" s="5">
        <f t="shared" si="89"/>
        <v>0</v>
      </c>
      <c r="N383" s="5">
        <f t="shared" si="90"/>
        <v>773.5</v>
      </c>
    </row>
    <row r="384" spans="1:14" s="13" customFormat="1" ht="31.5" x14ac:dyDescent="0.25">
      <c r="A384" s="33" t="s">
        <v>769</v>
      </c>
      <c r="B384" s="34" t="s">
        <v>984</v>
      </c>
      <c r="C384" s="30" t="s">
        <v>1491</v>
      </c>
      <c r="D384" s="32" t="s">
        <v>1492</v>
      </c>
      <c r="E384" s="86">
        <v>9.3059999999999992</v>
      </c>
      <c r="F384" s="86">
        <v>1.0999999999999999E-2</v>
      </c>
      <c r="G384" s="86">
        <f>F384+E384</f>
        <v>9.3169999999999984</v>
      </c>
      <c r="H384" s="86">
        <v>7247.5544099999997</v>
      </c>
      <c r="I384" s="86"/>
      <c r="J384" s="5">
        <f>H384+I384</f>
        <v>7247.5544099999997</v>
      </c>
      <c r="K384" s="5">
        <f>J384/G384</f>
        <v>777.88498551035752</v>
      </c>
      <c r="L384" s="5">
        <f t="shared" si="87"/>
        <v>0.2293356472015699</v>
      </c>
      <c r="M384" s="5">
        <f t="shared" si="89"/>
        <v>0</v>
      </c>
      <c r="N384" s="5">
        <f t="shared" si="90"/>
        <v>16955.7</v>
      </c>
    </row>
    <row r="385" spans="1:14" s="13" customFormat="1" ht="31.5" x14ac:dyDescent="0.25">
      <c r="A385" s="33" t="s">
        <v>769</v>
      </c>
      <c r="B385" s="34" t="s">
        <v>984</v>
      </c>
      <c r="C385" s="30" t="s">
        <v>1493</v>
      </c>
      <c r="D385" s="32" t="s">
        <v>2960</v>
      </c>
      <c r="E385" s="86">
        <v>16.800999999999998</v>
      </c>
      <c r="F385" s="86">
        <v>8.0000000000000002E-3</v>
      </c>
      <c r="G385" s="86">
        <f>F385+E385</f>
        <v>16.808999999999997</v>
      </c>
      <c r="H385" s="86">
        <v>11776.659474</v>
      </c>
      <c r="I385" s="86"/>
      <c r="J385" s="5">
        <f>H385+I385</f>
        <v>11776.659474</v>
      </c>
      <c r="K385" s="5">
        <f>J385/G385</f>
        <v>700.61630519364633</v>
      </c>
      <c r="L385" s="5">
        <f t="shared" si="87"/>
        <v>0.20655533502313383</v>
      </c>
      <c r="M385" s="5">
        <f t="shared" si="89"/>
        <v>0</v>
      </c>
      <c r="N385" s="5">
        <f t="shared" si="90"/>
        <v>31629.1</v>
      </c>
    </row>
    <row r="386" spans="1:14" s="13" customFormat="1" ht="31.5" x14ac:dyDescent="0.25">
      <c r="A386" s="33" t="s">
        <v>769</v>
      </c>
      <c r="B386" s="34" t="s">
        <v>984</v>
      </c>
      <c r="C386" s="30" t="s">
        <v>1039</v>
      </c>
      <c r="D386" s="32" t="s">
        <v>2961</v>
      </c>
      <c r="E386" s="5">
        <v>8.3330000000000002</v>
      </c>
      <c r="F386" s="5">
        <v>5.0000000000000001E-3</v>
      </c>
      <c r="G386" s="5">
        <f t="shared" si="88"/>
        <v>8.338000000000001</v>
      </c>
      <c r="H386" s="49">
        <v>10119.679853999998</v>
      </c>
      <c r="I386" s="49"/>
      <c r="J386" s="5">
        <f t="shared" si="91"/>
        <v>10119.679853999998</v>
      </c>
      <c r="K386" s="5">
        <f t="shared" si="92"/>
        <v>1213.6819206044611</v>
      </c>
      <c r="L386" s="5">
        <f t="shared" si="87"/>
        <v>0.35781707314488637</v>
      </c>
      <c r="M386" s="5">
        <f t="shared" si="89"/>
        <v>0</v>
      </c>
      <c r="N386" s="5">
        <f t="shared" si="90"/>
        <v>12267.1</v>
      </c>
    </row>
    <row r="387" spans="1:14" s="13" customFormat="1" ht="31.5" x14ac:dyDescent="0.25">
      <c r="A387" s="33" t="s">
        <v>769</v>
      </c>
      <c r="B387" s="34" t="s">
        <v>984</v>
      </c>
      <c r="C387" s="30" t="s">
        <v>1040</v>
      </c>
      <c r="D387" s="32" t="s">
        <v>2836</v>
      </c>
      <c r="E387" s="5">
        <v>9.4120000000000008</v>
      </c>
      <c r="F387" s="5">
        <v>8.9999999999999993E-3</v>
      </c>
      <c r="G387" s="5">
        <f t="shared" si="88"/>
        <v>9.4210000000000012</v>
      </c>
      <c r="H387" s="49">
        <v>6183.4102800000001</v>
      </c>
      <c r="I387" s="49"/>
      <c r="J387" s="5">
        <f t="shared" si="91"/>
        <v>6183.4102800000001</v>
      </c>
      <c r="K387" s="5">
        <f t="shared" si="92"/>
        <v>656.34330538159429</v>
      </c>
      <c r="L387" s="5">
        <f t="shared" si="87"/>
        <v>0.1935027922249328</v>
      </c>
      <c r="M387" s="5">
        <f t="shared" si="89"/>
        <v>0</v>
      </c>
      <c r="N387" s="5">
        <f t="shared" si="90"/>
        <v>18061</v>
      </c>
    </row>
    <row r="388" spans="1:14" s="13" customFormat="1" ht="31.5" x14ac:dyDescent="0.25">
      <c r="A388" s="33" t="s">
        <v>769</v>
      </c>
      <c r="B388" s="34" t="s">
        <v>984</v>
      </c>
      <c r="C388" s="30" t="s">
        <v>1497</v>
      </c>
      <c r="D388" s="32" t="s">
        <v>2962</v>
      </c>
      <c r="E388" s="86">
        <v>14.959</v>
      </c>
      <c r="F388" s="86">
        <v>1.4E-2</v>
      </c>
      <c r="G388" s="86">
        <f>F388+E388</f>
        <v>14.972999999999999</v>
      </c>
      <c r="H388" s="86">
        <v>7772.2664939999995</v>
      </c>
      <c r="I388" s="86"/>
      <c r="J388" s="5">
        <f>H388+I388</f>
        <v>7772.2664939999995</v>
      </c>
      <c r="K388" s="5">
        <f>J388/G388</f>
        <v>519.08545341614911</v>
      </c>
      <c r="L388" s="5">
        <f t="shared" si="87"/>
        <v>0.15303650363428675</v>
      </c>
      <c r="M388" s="5">
        <f t="shared" si="89"/>
        <v>0</v>
      </c>
      <c r="N388" s="5">
        <f t="shared" si="90"/>
        <v>30348.799999999999</v>
      </c>
    </row>
    <row r="389" spans="1:14" s="13" customFormat="1" ht="31.5" x14ac:dyDescent="0.25">
      <c r="A389" s="33" t="s">
        <v>769</v>
      </c>
      <c r="B389" s="34" t="s">
        <v>984</v>
      </c>
      <c r="C389" s="30" t="s">
        <v>1041</v>
      </c>
      <c r="D389" s="32" t="s">
        <v>2963</v>
      </c>
      <c r="E389" s="5">
        <v>7.7110000000000003</v>
      </c>
      <c r="F389" s="5">
        <v>5.0000000000000001E-3</v>
      </c>
      <c r="G389" s="5">
        <f t="shared" si="88"/>
        <v>7.7160000000000002</v>
      </c>
      <c r="H389" s="49">
        <v>18627.78111</v>
      </c>
      <c r="I389" s="49">
        <f>(-2159.66)*0.6</f>
        <v>-1295.7959999999998</v>
      </c>
      <c r="J389" s="5">
        <f t="shared" si="91"/>
        <v>17331.985110000001</v>
      </c>
      <c r="K389" s="5">
        <f t="shared" si="92"/>
        <v>2246.2396461897356</v>
      </c>
      <c r="L389" s="5">
        <f t="shared" si="87"/>
        <v>0.66223520523509227</v>
      </c>
      <c r="M389" s="5">
        <f t="shared" si="89"/>
        <v>0</v>
      </c>
      <c r="N389" s="5">
        <f t="shared" si="90"/>
        <v>4978.2</v>
      </c>
    </row>
    <row r="390" spans="1:14" s="13" customFormat="1" ht="15.75" x14ac:dyDescent="0.25">
      <c r="A390" s="33" t="s">
        <v>769</v>
      </c>
      <c r="B390" s="34" t="s">
        <v>984</v>
      </c>
      <c r="C390" s="30" t="s">
        <v>1500</v>
      </c>
      <c r="D390" s="32" t="s">
        <v>2964</v>
      </c>
      <c r="E390" s="86">
        <v>6.5389999999999997</v>
      </c>
      <c r="F390" s="86">
        <v>2.1999999999999999E-2</v>
      </c>
      <c r="G390" s="86">
        <f t="shared" ref="G390:G421" si="93">F390+E390</f>
        <v>6.5609999999999999</v>
      </c>
      <c r="H390" s="86">
        <v>27185.795141999995</v>
      </c>
      <c r="I390" s="86">
        <f>(43.386+9.132)*0.6</f>
        <v>31.5108</v>
      </c>
      <c r="J390" s="5">
        <f t="shared" ref="J390:J421" si="94">H390+I390</f>
        <v>27217.305941999995</v>
      </c>
      <c r="K390" s="5">
        <f t="shared" ref="K390:K421" si="95">J390/G390</f>
        <v>4148.347194330132</v>
      </c>
      <c r="L390" s="5">
        <f t="shared" si="87"/>
        <v>1.2230135641509308</v>
      </c>
      <c r="M390" s="5">
        <f t="shared" si="89"/>
        <v>1368.8</v>
      </c>
      <c r="N390" s="5">
        <f t="shared" si="90"/>
        <v>0</v>
      </c>
    </row>
    <row r="391" spans="1:14" s="13" customFormat="1" ht="31.5" x14ac:dyDescent="0.25">
      <c r="A391" s="33" t="s">
        <v>769</v>
      </c>
      <c r="B391" s="34" t="s">
        <v>984</v>
      </c>
      <c r="C391" s="30" t="s">
        <v>1502</v>
      </c>
      <c r="D391" s="32" t="s">
        <v>2965</v>
      </c>
      <c r="E391" s="86">
        <v>14.324999999999999</v>
      </c>
      <c r="F391" s="86">
        <v>0.05</v>
      </c>
      <c r="G391" s="86">
        <f t="shared" si="93"/>
        <v>14.375</v>
      </c>
      <c r="H391" s="86">
        <v>104771.58887600221</v>
      </c>
      <c r="I391" s="86">
        <f>(497.295+67.506+59.628+49.876+7.173+7.118+2.72+43.916)*0.6</f>
        <v>441.13920000000013</v>
      </c>
      <c r="J391" s="5">
        <f t="shared" si="94"/>
        <v>105212.72807600221</v>
      </c>
      <c r="K391" s="5">
        <f t="shared" si="95"/>
        <v>7319.1463009392846</v>
      </c>
      <c r="L391" s="5">
        <f t="shared" si="87"/>
        <v>2.1578269090611437</v>
      </c>
      <c r="M391" s="5">
        <f t="shared" si="89"/>
        <v>25789.1</v>
      </c>
      <c r="N391" s="5">
        <f t="shared" si="90"/>
        <v>0</v>
      </c>
    </row>
    <row r="392" spans="1:14" s="13" customFormat="1" ht="15.75" x14ac:dyDescent="0.25">
      <c r="A392" s="33" t="s">
        <v>769</v>
      </c>
      <c r="B392" s="34" t="s">
        <v>986</v>
      </c>
      <c r="C392" s="30" t="s">
        <v>1504</v>
      </c>
      <c r="D392" s="32" t="s">
        <v>2966</v>
      </c>
      <c r="E392" s="86">
        <v>44.128</v>
      </c>
      <c r="F392" s="86">
        <v>9.0999999999999998E-2</v>
      </c>
      <c r="G392" s="86">
        <f t="shared" si="93"/>
        <v>44.219000000000001</v>
      </c>
      <c r="H392" s="86">
        <v>107017.21655800001</v>
      </c>
      <c r="I392" s="49">
        <f>(2159.66)*0.6</f>
        <v>1295.7959999999998</v>
      </c>
      <c r="J392" s="5">
        <f t="shared" si="94"/>
        <v>108313.01255800002</v>
      </c>
      <c r="K392" s="5">
        <f t="shared" si="95"/>
        <v>2449.4677075013005</v>
      </c>
      <c r="L392" s="5">
        <f t="shared" si="87"/>
        <v>0.72215079666385562</v>
      </c>
      <c r="M392" s="5">
        <f t="shared" si="89"/>
        <v>0</v>
      </c>
      <c r="N392" s="5">
        <f t="shared" si="90"/>
        <v>21340</v>
      </c>
    </row>
    <row r="393" spans="1:14" s="13" customFormat="1" ht="15.75" x14ac:dyDescent="0.25">
      <c r="A393" s="33" t="s">
        <v>769</v>
      </c>
      <c r="B393" s="34" t="s">
        <v>985</v>
      </c>
      <c r="C393" s="30" t="s">
        <v>1506</v>
      </c>
      <c r="D393" s="32" t="s">
        <v>1507</v>
      </c>
      <c r="E393" s="86">
        <v>12.077</v>
      </c>
      <c r="F393" s="86">
        <v>3.0000000000000001E-3</v>
      </c>
      <c r="G393" s="86">
        <f t="shared" si="93"/>
        <v>12.08</v>
      </c>
      <c r="H393" s="86">
        <v>13457.343371999999</v>
      </c>
      <c r="I393" s="86"/>
      <c r="J393" s="5">
        <f t="shared" si="94"/>
        <v>13457.343371999999</v>
      </c>
      <c r="K393" s="5">
        <f t="shared" si="95"/>
        <v>1114.0184910596026</v>
      </c>
      <c r="L393" s="5">
        <f t="shared" si="87"/>
        <v>0.32843435263640081</v>
      </c>
      <c r="M393" s="5">
        <f t="shared" si="89"/>
        <v>0</v>
      </c>
      <c r="N393" s="5">
        <f t="shared" si="90"/>
        <v>18735.599999999999</v>
      </c>
    </row>
    <row r="394" spans="1:14" s="13" customFormat="1" ht="31.5" x14ac:dyDescent="0.25">
      <c r="A394" s="33" t="s">
        <v>769</v>
      </c>
      <c r="B394" s="34" t="s">
        <v>984</v>
      </c>
      <c r="C394" s="30" t="s">
        <v>1508</v>
      </c>
      <c r="D394" s="32" t="s">
        <v>1509</v>
      </c>
      <c r="E394" s="86">
        <v>6.5380000000000003</v>
      </c>
      <c r="F394" s="86">
        <v>4.0000000000000001E-3</v>
      </c>
      <c r="G394" s="86">
        <f t="shared" si="93"/>
        <v>6.5419999999999998</v>
      </c>
      <c r="H394" s="86">
        <v>4689.9655439999997</v>
      </c>
      <c r="I394" s="86"/>
      <c r="J394" s="5">
        <f t="shared" si="94"/>
        <v>4689.9655439999997</v>
      </c>
      <c r="K394" s="5">
        <f t="shared" si="95"/>
        <v>716.90087801895447</v>
      </c>
      <c r="L394" s="5">
        <f t="shared" si="87"/>
        <v>0.21135634432124095</v>
      </c>
      <c r="M394" s="5">
        <f t="shared" si="89"/>
        <v>0</v>
      </c>
      <c r="N394" s="5">
        <f t="shared" si="90"/>
        <v>12224.7</v>
      </c>
    </row>
    <row r="395" spans="1:14" s="13" customFormat="1" ht="15.75" x14ac:dyDescent="0.25">
      <c r="A395" s="33" t="s">
        <v>769</v>
      </c>
      <c r="B395" s="34" t="s">
        <v>984</v>
      </c>
      <c r="C395" s="30" t="s">
        <v>1510</v>
      </c>
      <c r="D395" s="32" t="s">
        <v>1511</v>
      </c>
      <c r="E395" s="86">
        <v>20.65</v>
      </c>
      <c r="F395" s="86">
        <v>0.01</v>
      </c>
      <c r="G395" s="86">
        <f t="shared" si="93"/>
        <v>20.66</v>
      </c>
      <c r="H395" s="86">
        <v>15723.450822000001</v>
      </c>
      <c r="I395" s="86"/>
      <c r="J395" s="5">
        <f t="shared" si="94"/>
        <v>15723.450822000001</v>
      </c>
      <c r="K395" s="5">
        <f t="shared" si="95"/>
        <v>761.05763901258479</v>
      </c>
      <c r="L395" s="5">
        <f t="shared" si="87"/>
        <v>0.22437461765139821</v>
      </c>
      <c r="M395" s="5">
        <f t="shared" si="89"/>
        <v>0</v>
      </c>
      <c r="N395" s="5">
        <f t="shared" si="90"/>
        <v>37876.5</v>
      </c>
    </row>
    <row r="396" spans="1:14" s="13" customFormat="1" ht="15.75" x14ac:dyDescent="0.25">
      <c r="A396" s="33" t="s">
        <v>769</v>
      </c>
      <c r="B396" s="34" t="s">
        <v>984</v>
      </c>
      <c r="C396" s="30" t="s">
        <v>1512</v>
      </c>
      <c r="D396" s="32" t="s">
        <v>1513</v>
      </c>
      <c r="E396" s="86">
        <v>10.558</v>
      </c>
      <c r="F396" s="86">
        <v>1E-3</v>
      </c>
      <c r="G396" s="86">
        <f t="shared" si="93"/>
        <v>10.558999999999999</v>
      </c>
      <c r="H396" s="86">
        <v>11731.074581999999</v>
      </c>
      <c r="I396" s="86"/>
      <c r="J396" s="5">
        <f t="shared" si="94"/>
        <v>11731.074581999999</v>
      </c>
      <c r="K396" s="5">
        <f t="shared" si="95"/>
        <v>1111.0024227673075</v>
      </c>
      <c r="L396" s="5">
        <f t="shared" si="87"/>
        <v>0.32754515694976105</v>
      </c>
      <c r="M396" s="5">
        <f t="shared" si="89"/>
        <v>0</v>
      </c>
      <c r="N396" s="5">
        <f t="shared" si="90"/>
        <v>16402</v>
      </c>
    </row>
    <row r="397" spans="1:14" s="13" customFormat="1" ht="31.5" x14ac:dyDescent="0.25">
      <c r="A397" s="33" t="s">
        <v>769</v>
      </c>
      <c r="B397" s="34" t="s">
        <v>985</v>
      </c>
      <c r="C397" s="30" t="s">
        <v>1514</v>
      </c>
      <c r="D397" s="32" t="s">
        <v>1515</v>
      </c>
      <c r="E397" s="86">
        <v>25.812999999999999</v>
      </c>
      <c r="F397" s="86">
        <v>0.03</v>
      </c>
      <c r="G397" s="86">
        <f t="shared" si="93"/>
        <v>25.843</v>
      </c>
      <c r="H397" s="86">
        <v>17216.900028</v>
      </c>
      <c r="I397" s="86"/>
      <c r="J397" s="5">
        <f t="shared" si="94"/>
        <v>17216.900028</v>
      </c>
      <c r="K397" s="5">
        <f t="shared" si="95"/>
        <v>666.21135425453701</v>
      </c>
      <c r="L397" s="5">
        <f t="shared" si="87"/>
        <v>0.19641208526573917</v>
      </c>
      <c r="M397" s="5">
        <f t="shared" si="89"/>
        <v>0</v>
      </c>
      <c r="N397" s="5">
        <f t="shared" si="90"/>
        <v>49339.5</v>
      </c>
    </row>
    <row r="398" spans="1:14" s="13" customFormat="1" ht="31.5" x14ac:dyDescent="0.25">
      <c r="A398" s="33" t="s">
        <v>769</v>
      </c>
      <c r="B398" s="34" t="s">
        <v>984</v>
      </c>
      <c r="C398" s="30" t="s">
        <v>1516</v>
      </c>
      <c r="D398" s="32" t="s">
        <v>1517</v>
      </c>
      <c r="E398" s="86">
        <v>6.1849999999999996</v>
      </c>
      <c r="F398" s="86">
        <v>3.0000000000000001E-3</v>
      </c>
      <c r="G398" s="86">
        <f t="shared" si="93"/>
        <v>6.1879999999999997</v>
      </c>
      <c r="H398" s="86">
        <v>6598.058861999999</v>
      </c>
      <c r="I398" s="86"/>
      <c r="J398" s="5">
        <f t="shared" si="94"/>
        <v>6598.058861999999</v>
      </c>
      <c r="K398" s="5">
        <f t="shared" si="95"/>
        <v>1066.2667844214607</v>
      </c>
      <c r="L398" s="5">
        <f t="shared" si="87"/>
        <v>0.31435621929943597</v>
      </c>
      <c r="M398" s="5">
        <f t="shared" si="89"/>
        <v>0</v>
      </c>
      <c r="N398" s="5">
        <f t="shared" si="90"/>
        <v>9833.7000000000007</v>
      </c>
    </row>
    <row r="399" spans="1:14" s="13" customFormat="1" ht="31.5" x14ac:dyDescent="0.25">
      <c r="A399" s="33" t="s">
        <v>769</v>
      </c>
      <c r="B399" s="34" t="s">
        <v>984</v>
      </c>
      <c r="C399" s="30" t="s">
        <v>1518</v>
      </c>
      <c r="D399" s="32" t="s">
        <v>1519</v>
      </c>
      <c r="E399" s="86">
        <v>7.585</v>
      </c>
      <c r="F399" s="86">
        <v>5.0000000000000001E-3</v>
      </c>
      <c r="G399" s="86">
        <f t="shared" si="93"/>
        <v>7.59</v>
      </c>
      <c r="H399" s="86">
        <v>9895.852961999999</v>
      </c>
      <c r="I399" s="86"/>
      <c r="J399" s="5">
        <f t="shared" si="94"/>
        <v>9895.852961999999</v>
      </c>
      <c r="K399" s="5">
        <f t="shared" si="95"/>
        <v>1303.8014442687745</v>
      </c>
      <c r="L399" s="5">
        <f t="shared" si="87"/>
        <v>0.38438606428114391</v>
      </c>
      <c r="M399" s="5">
        <f t="shared" si="89"/>
        <v>0</v>
      </c>
      <c r="N399" s="5">
        <f t="shared" si="90"/>
        <v>10619.4</v>
      </c>
    </row>
    <row r="400" spans="1:14" s="13" customFormat="1" ht="31.5" x14ac:dyDescent="0.25">
      <c r="A400" s="33" t="s">
        <v>769</v>
      </c>
      <c r="B400" s="34" t="s">
        <v>985</v>
      </c>
      <c r="C400" s="30" t="s">
        <v>1520</v>
      </c>
      <c r="D400" s="32" t="s">
        <v>1521</v>
      </c>
      <c r="E400" s="86">
        <v>29.526</v>
      </c>
      <c r="F400" s="86">
        <v>4.0000000000000001E-3</v>
      </c>
      <c r="G400" s="86">
        <f t="shared" si="93"/>
        <v>29.53</v>
      </c>
      <c r="H400" s="86">
        <v>30032.695139999996</v>
      </c>
      <c r="I400" s="86"/>
      <c r="J400" s="5">
        <f t="shared" si="94"/>
        <v>30032.695139999996</v>
      </c>
      <c r="K400" s="5">
        <f t="shared" si="95"/>
        <v>1017.02320149001</v>
      </c>
      <c r="L400" s="5">
        <f t="shared" si="87"/>
        <v>0.29983825176892875</v>
      </c>
      <c r="M400" s="5">
        <f t="shared" si="89"/>
        <v>0</v>
      </c>
      <c r="N400" s="5">
        <f t="shared" si="90"/>
        <v>48091.199999999997</v>
      </c>
    </row>
    <row r="401" spans="1:14" s="13" customFormat="1" ht="31.5" x14ac:dyDescent="0.25">
      <c r="A401" s="33" t="s">
        <v>769</v>
      </c>
      <c r="B401" s="34" t="s">
        <v>984</v>
      </c>
      <c r="C401" s="30" t="s">
        <v>1522</v>
      </c>
      <c r="D401" s="32" t="s">
        <v>1523</v>
      </c>
      <c r="E401" s="86">
        <v>11.542999999999999</v>
      </c>
      <c r="F401" s="86">
        <v>0</v>
      </c>
      <c r="G401" s="86">
        <f t="shared" si="93"/>
        <v>11.542999999999999</v>
      </c>
      <c r="H401" s="86">
        <v>8802.9060420000005</v>
      </c>
      <c r="I401" s="86">
        <f>(55.153)*0.6</f>
        <v>33.091799999999999</v>
      </c>
      <c r="J401" s="5">
        <f t="shared" si="94"/>
        <v>8835.9978420000007</v>
      </c>
      <c r="K401" s="5">
        <f t="shared" si="95"/>
        <v>765.48538872043673</v>
      </c>
      <c r="L401" s="5">
        <f t="shared" si="87"/>
        <v>0.2256800045193946</v>
      </c>
      <c r="M401" s="5">
        <f t="shared" si="89"/>
        <v>0</v>
      </c>
      <c r="N401" s="5">
        <f t="shared" si="90"/>
        <v>21121.200000000001</v>
      </c>
    </row>
    <row r="402" spans="1:14" s="13" customFormat="1" ht="31.5" x14ac:dyDescent="0.25">
      <c r="A402" s="33" t="s">
        <v>769</v>
      </c>
      <c r="B402" s="34" t="s">
        <v>984</v>
      </c>
      <c r="C402" s="30" t="s">
        <v>1524</v>
      </c>
      <c r="D402" s="32" t="s">
        <v>1525</v>
      </c>
      <c r="E402" s="86">
        <v>21.689</v>
      </c>
      <c r="F402" s="86">
        <v>1.7999999999999999E-2</v>
      </c>
      <c r="G402" s="86">
        <f t="shared" si="93"/>
        <v>21.707000000000001</v>
      </c>
      <c r="H402" s="86">
        <v>22918.051974000002</v>
      </c>
      <c r="I402" s="86"/>
      <c r="J402" s="5">
        <f t="shared" si="94"/>
        <v>22918.051974000002</v>
      </c>
      <c r="K402" s="5">
        <f t="shared" si="95"/>
        <v>1055.7908496798268</v>
      </c>
      <c r="L402" s="5">
        <f t="shared" si="87"/>
        <v>0.31126770966270889</v>
      </c>
      <c r="M402" s="5">
        <f t="shared" si="89"/>
        <v>0</v>
      </c>
      <c r="N402" s="5">
        <f t="shared" si="90"/>
        <v>34677.800000000003</v>
      </c>
    </row>
    <row r="403" spans="1:14" s="13" customFormat="1" ht="31.5" x14ac:dyDescent="0.25">
      <c r="A403" s="33" t="s">
        <v>769</v>
      </c>
      <c r="B403" s="34" t="s">
        <v>984</v>
      </c>
      <c r="C403" s="30" t="s">
        <v>1526</v>
      </c>
      <c r="D403" s="32" t="s">
        <v>1527</v>
      </c>
      <c r="E403" s="86">
        <v>7.2510000000000003</v>
      </c>
      <c r="F403" s="86">
        <v>1.7999999999999999E-2</v>
      </c>
      <c r="G403" s="86">
        <f t="shared" si="93"/>
        <v>7.2690000000000001</v>
      </c>
      <c r="H403" s="86">
        <v>8149.1609520000002</v>
      </c>
      <c r="I403" s="86"/>
      <c r="J403" s="5">
        <f t="shared" si="94"/>
        <v>8149.1609520000002</v>
      </c>
      <c r="K403" s="5">
        <f t="shared" si="95"/>
        <v>1121.0841865456046</v>
      </c>
      <c r="L403" s="5">
        <f t="shared" si="87"/>
        <v>0.33051745730790738</v>
      </c>
      <c r="M403" s="5">
        <f t="shared" si="89"/>
        <v>0</v>
      </c>
      <c r="N403" s="5">
        <f t="shared" si="90"/>
        <v>11232.8</v>
      </c>
    </row>
    <row r="404" spans="1:14" s="13" customFormat="1" ht="15.75" x14ac:dyDescent="0.25">
      <c r="A404" s="33" t="s">
        <v>769</v>
      </c>
      <c r="B404" s="34" t="s">
        <v>985</v>
      </c>
      <c r="C404" s="30" t="s">
        <v>1528</v>
      </c>
      <c r="D404" s="32" t="s">
        <v>1529</v>
      </c>
      <c r="E404" s="86">
        <v>14.775</v>
      </c>
      <c r="F404" s="86">
        <v>2.1999999999999999E-2</v>
      </c>
      <c r="G404" s="86">
        <f t="shared" si="93"/>
        <v>14.797000000000001</v>
      </c>
      <c r="H404" s="86">
        <v>13434.008262000003</v>
      </c>
      <c r="I404" s="86"/>
      <c r="J404" s="5">
        <f t="shared" si="94"/>
        <v>13434.008262000003</v>
      </c>
      <c r="K404" s="5">
        <f t="shared" si="95"/>
        <v>907.88729215381511</v>
      </c>
      <c r="L404" s="5">
        <f t="shared" si="87"/>
        <v>0.26766285969071923</v>
      </c>
      <c r="M404" s="5">
        <f t="shared" si="89"/>
        <v>0</v>
      </c>
      <c r="N404" s="5">
        <f t="shared" si="90"/>
        <v>25389.599999999999</v>
      </c>
    </row>
    <row r="405" spans="1:14" s="13" customFormat="1" ht="31.5" x14ac:dyDescent="0.25">
      <c r="A405" s="33" t="s">
        <v>769</v>
      </c>
      <c r="B405" s="34" t="s">
        <v>983</v>
      </c>
      <c r="C405" s="30" t="s">
        <v>1530</v>
      </c>
      <c r="D405" s="32" t="s">
        <v>1531</v>
      </c>
      <c r="E405" s="86">
        <v>63.371000000000002</v>
      </c>
      <c r="F405" s="86">
        <v>0.183</v>
      </c>
      <c r="G405" s="86">
        <f t="shared" si="93"/>
        <v>63.554000000000002</v>
      </c>
      <c r="H405" s="86">
        <v>154019.18309599996</v>
      </c>
      <c r="I405" s="86"/>
      <c r="J405" s="5">
        <f t="shared" si="94"/>
        <v>154019.18309599996</v>
      </c>
      <c r="K405" s="5">
        <f t="shared" si="95"/>
        <v>2423.4380699247877</v>
      </c>
      <c r="L405" s="5">
        <f t="shared" si="87"/>
        <v>0.71447675243980446</v>
      </c>
      <c r="M405" s="5">
        <f t="shared" si="89"/>
        <v>0</v>
      </c>
      <c r="N405" s="5">
        <f t="shared" si="90"/>
        <v>31994.5</v>
      </c>
    </row>
    <row r="406" spans="1:14" s="13" customFormat="1" ht="31.5" x14ac:dyDescent="0.25">
      <c r="A406" s="33" t="s">
        <v>769</v>
      </c>
      <c r="B406" s="34" t="s">
        <v>985</v>
      </c>
      <c r="C406" s="30" t="s">
        <v>1532</v>
      </c>
      <c r="D406" s="32" t="s">
        <v>1533</v>
      </c>
      <c r="E406" s="86">
        <v>16.109000000000002</v>
      </c>
      <c r="F406" s="86">
        <v>2.5000000000000001E-2</v>
      </c>
      <c r="G406" s="86">
        <f t="shared" si="93"/>
        <v>16.134</v>
      </c>
      <c r="H406" s="86">
        <v>20115.035843999998</v>
      </c>
      <c r="I406" s="86">
        <f>(-13592.5)*0.6</f>
        <v>-8155.5</v>
      </c>
      <c r="J406" s="5">
        <f t="shared" si="94"/>
        <v>11959.535843999998</v>
      </c>
      <c r="K406" s="5">
        <f t="shared" si="95"/>
        <v>741.26291335068788</v>
      </c>
      <c r="L406" s="5">
        <f t="shared" si="87"/>
        <v>0.21853874691805286</v>
      </c>
      <c r="M406" s="5">
        <f t="shared" si="89"/>
        <v>0</v>
      </c>
      <c r="N406" s="5">
        <f t="shared" si="90"/>
        <v>29834.400000000001</v>
      </c>
    </row>
    <row r="407" spans="1:14" s="13" customFormat="1" ht="31.5" x14ac:dyDescent="0.25">
      <c r="A407" s="33" t="s">
        <v>769</v>
      </c>
      <c r="B407" s="34" t="s">
        <v>985</v>
      </c>
      <c r="C407" s="30" t="s">
        <v>1534</v>
      </c>
      <c r="D407" s="32" t="s">
        <v>1535</v>
      </c>
      <c r="E407" s="86">
        <v>8.8849999999999998</v>
      </c>
      <c r="F407" s="86">
        <v>1.0999999999999999E-2</v>
      </c>
      <c r="G407" s="86">
        <f t="shared" si="93"/>
        <v>8.895999999999999</v>
      </c>
      <c r="H407" s="86">
        <v>25374.459419999999</v>
      </c>
      <c r="I407" s="86"/>
      <c r="J407" s="5">
        <f t="shared" si="94"/>
        <v>25374.459419999999</v>
      </c>
      <c r="K407" s="5">
        <f t="shared" si="95"/>
        <v>2852.344808902878</v>
      </c>
      <c r="L407" s="5">
        <f t="shared" ref="L407:L438" si="96">K407/$K$1659</f>
        <v>0.84092681434467653</v>
      </c>
      <c r="M407" s="5">
        <f t="shared" si="89"/>
        <v>0</v>
      </c>
      <c r="N407" s="5">
        <f t="shared" si="90"/>
        <v>1426</v>
      </c>
    </row>
    <row r="408" spans="1:14" s="13" customFormat="1" ht="31.5" x14ac:dyDescent="0.25">
      <c r="A408" s="33" t="s">
        <v>769</v>
      </c>
      <c r="B408" s="34" t="s">
        <v>984</v>
      </c>
      <c r="C408" s="30" t="s">
        <v>1536</v>
      </c>
      <c r="D408" s="32" t="s">
        <v>1537</v>
      </c>
      <c r="E408" s="86">
        <v>12.785</v>
      </c>
      <c r="F408" s="86">
        <v>0</v>
      </c>
      <c r="G408" s="86">
        <f t="shared" si="93"/>
        <v>12.785</v>
      </c>
      <c r="H408" s="86">
        <v>10086.590076</v>
      </c>
      <c r="I408" s="86"/>
      <c r="J408" s="5">
        <f t="shared" si="94"/>
        <v>10086.590076</v>
      </c>
      <c r="K408" s="5">
        <f t="shared" si="95"/>
        <v>788.93938803285107</v>
      </c>
      <c r="L408" s="5">
        <f t="shared" si="96"/>
        <v>0.23259470040885022</v>
      </c>
      <c r="M408" s="5">
        <f t="shared" ref="M408:M439" si="97">ROUND(IF(L408&lt;110%,0,(K408-$K$1659*1.1)*0.5)*G408,1)</f>
        <v>0</v>
      </c>
      <c r="N408" s="5">
        <f t="shared" ref="N408:N439" si="98">ROUND(IF(L408&gt;90%,0,(-K408+$K$1659*0.9)*0.8)*G408,1)</f>
        <v>23153.9</v>
      </c>
    </row>
    <row r="409" spans="1:14" s="13" customFormat="1" ht="15.75" x14ac:dyDescent="0.25">
      <c r="A409" s="33" t="s">
        <v>769</v>
      </c>
      <c r="B409" s="34" t="s">
        <v>984</v>
      </c>
      <c r="C409" s="30" t="s">
        <v>1538</v>
      </c>
      <c r="D409" s="32" t="s">
        <v>1539</v>
      </c>
      <c r="E409" s="86">
        <v>13.821</v>
      </c>
      <c r="F409" s="86">
        <v>1.2999999999999999E-2</v>
      </c>
      <c r="G409" s="86">
        <f t="shared" si="93"/>
        <v>13.834</v>
      </c>
      <c r="H409" s="86">
        <v>9853.5619019999995</v>
      </c>
      <c r="I409" s="86"/>
      <c r="J409" s="5">
        <f t="shared" si="94"/>
        <v>9853.5619019999995</v>
      </c>
      <c r="K409" s="5">
        <f t="shared" si="95"/>
        <v>712.27135333236947</v>
      </c>
      <c r="L409" s="5">
        <f t="shared" si="96"/>
        <v>0.2099914702588665</v>
      </c>
      <c r="M409" s="5">
        <f t="shared" si="97"/>
        <v>0</v>
      </c>
      <c r="N409" s="5">
        <f t="shared" si="98"/>
        <v>25902.2</v>
      </c>
    </row>
    <row r="410" spans="1:14" s="13" customFormat="1" ht="15.75" x14ac:dyDescent="0.25">
      <c r="A410" s="33" t="s">
        <v>769</v>
      </c>
      <c r="B410" s="34" t="s">
        <v>985</v>
      </c>
      <c r="C410" s="30" t="s">
        <v>1540</v>
      </c>
      <c r="D410" s="32" t="s">
        <v>1541</v>
      </c>
      <c r="E410" s="86">
        <v>20.370999999999999</v>
      </c>
      <c r="F410" s="86">
        <v>7.0000000000000001E-3</v>
      </c>
      <c r="G410" s="86">
        <f t="shared" si="93"/>
        <v>20.378</v>
      </c>
      <c r="H410" s="86">
        <v>19763.906952000001</v>
      </c>
      <c r="I410" s="86"/>
      <c r="J410" s="5">
        <f t="shared" si="94"/>
        <v>19763.906952000001</v>
      </c>
      <c r="K410" s="5">
        <f t="shared" si="95"/>
        <v>969.86490097163608</v>
      </c>
      <c r="L410" s="5">
        <f t="shared" si="96"/>
        <v>0.28593506611583147</v>
      </c>
      <c r="M410" s="5">
        <f t="shared" si="97"/>
        <v>0</v>
      </c>
      <c r="N410" s="5">
        <f t="shared" si="98"/>
        <v>33955.5</v>
      </c>
    </row>
    <row r="411" spans="1:14" s="13" customFormat="1" ht="31.5" x14ac:dyDescent="0.25">
      <c r="A411" s="33" t="s">
        <v>769</v>
      </c>
      <c r="B411" s="34" t="s">
        <v>984</v>
      </c>
      <c r="C411" s="30" t="s">
        <v>1542</v>
      </c>
      <c r="D411" s="32" t="s">
        <v>1543</v>
      </c>
      <c r="E411" s="86">
        <v>6.7130000000000001</v>
      </c>
      <c r="F411" s="86">
        <v>7.0000000000000001E-3</v>
      </c>
      <c r="G411" s="86">
        <f t="shared" si="93"/>
        <v>6.72</v>
      </c>
      <c r="H411" s="86">
        <v>7849.6842959999994</v>
      </c>
      <c r="I411" s="86">
        <f>(2.329)*0.6</f>
        <v>1.3974</v>
      </c>
      <c r="J411" s="5">
        <f t="shared" si="94"/>
        <v>7851.0816959999993</v>
      </c>
      <c r="K411" s="5">
        <f t="shared" si="95"/>
        <v>1168.3157285714285</v>
      </c>
      <c r="L411" s="5">
        <f t="shared" si="96"/>
        <v>0.34444223598417129</v>
      </c>
      <c r="M411" s="5">
        <f t="shared" si="97"/>
        <v>0</v>
      </c>
      <c r="N411" s="5">
        <f t="shared" si="98"/>
        <v>10130.5</v>
      </c>
    </row>
    <row r="412" spans="1:14" s="13" customFormat="1" ht="31.5" x14ac:dyDescent="0.25">
      <c r="A412" s="33" t="s">
        <v>769</v>
      </c>
      <c r="B412" s="34" t="s">
        <v>985</v>
      </c>
      <c r="C412" s="30" t="s">
        <v>1544</v>
      </c>
      <c r="D412" s="32" t="s">
        <v>1545</v>
      </c>
      <c r="E412" s="86">
        <v>4.6989999999999998</v>
      </c>
      <c r="F412" s="86">
        <v>6.0000000000000001E-3</v>
      </c>
      <c r="G412" s="86">
        <f t="shared" si="93"/>
        <v>4.7050000000000001</v>
      </c>
      <c r="H412" s="86">
        <v>4662.3001079999995</v>
      </c>
      <c r="I412" s="86"/>
      <c r="J412" s="5">
        <f t="shared" si="94"/>
        <v>4662.3001079999995</v>
      </c>
      <c r="K412" s="5">
        <f t="shared" si="95"/>
        <v>990.92457130712</v>
      </c>
      <c r="L412" s="5">
        <f t="shared" si="96"/>
        <v>0.29214386718051738</v>
      </c>
      <c r="M412" s="5">
        <f t="shared" si="97"/>
        <v>0</v>
      </c>
      <c r="N412" s="5">
        <f t="shared" si="98"/>
        <v>7760.6</v>
      </c>
    </row>
    <row r="413" spans="1:14" s="13" customFormat="1" ht="31.5" x14ac:dyDescent="0.25">
      <c r="A413" s="33" t="s">
        <v>769</v>
      </c>
      <c r="B413" s="34" t="s">
        <v>984</v>
      </c>
      <c r="C413" s="30" t="s">
        <v>1546</v>
      </c>
      <c r="D413" s="32" t="s">
        <v>1547</v>
      </c>
      <c r="E413" s="86">
        <v>9.282</v>
      </c>
      <c r="F413" s="86">
        <v>1.4999999999999999E-2</v>
      </c>
      <c r="G413" s="86">
        <f t="shared" si="93"/>
        <v>9.2970000000000006</v>
      </c>
      <c r="H413" s="86">
        <v>12291.218687999999</v>
      </c>
      <c r="I413" s="86"/>
      <c r="J413" s="5">
        <f t="shared" si="94"/>
        <v>12291.218687999999</v>
      </c>
      <c r="K413" s="5">
        <f t="shared" si="95"/>
        <v>1322.0628899645044</v>
      </c>
      <c r="L413" s="5">
        <f t="shared" si="96"/>
        <v>0.38976989421163016</v>
      </c>
      <c r="M413" s="5">
        <f t="shared" si="97"/>
        <v>0</v>
      </c>
      <c r="N413" s="5">
        <f t="shared" si="98"/>
        <v>12871.9</v>
      </c>
    </row>
    <row r="414" spans="1:14" s="13" customFormat="1" ht="31.5" x14ac:dyDescent="0.25">
      <c r="A414" s="33" t="s">
        <v>769</v>
      </c>
      <c r="B414" s="34" t="s">
        <v>984</v>
      </c>
      <c r="C414" s="30" t="s">
        <v>1548</v>
      </c>
      <c r="D414" s="32" t="s">
        <v>1549</v>
      </c>
      <c r="E414" s="86">
        <v>8.7569999999999997</v>
      </c>
      <c r="F414" s="86">
        <v>3.0000000000000001E-3</v>
      </c>
      <c r="G414" s="86">
        <f t="shared" si="93"/>
        <v>8.76</v>
      </c>
      <c r="H414" s="86">
        <v>6428.8361220000006</v>
      </c>
      <c r="I414" s="86"/>
      <c r="J414" s="5">
        <f t="shared" si="94"/>
        <v>6428.8361220000006</v>
      </c>
      <c r="K414" s="5">
        <f t="shared" si="95"/>
        <v>733.88540205479455</v>
      </c>
      <c r="L414" s="5">
        <f t="shared" si="96"/>
        <v>0.21636371287150866</v>
      </c>
      <c r="M414" s="5">
        <f t="shared" si="97"/>
        <v>0</v>
      </c>
      <c r="N414" s="5">
        <f t="shared" si="98"/>
        <v>16250.4</v>
      </c>
    </row>
    <row r="415" spans="1:14" s="13" customFormat="1" ht="31.5" x14ac:dyDescent="0.25">
      <c r="A415" s="33" t="s">
        <v>769</v>
      </c>
      <c r="B415" s="34" t="s">
        <v>985</v>
      </c>
      <c r="C415" s="30" t="s">
        <v>1550</v>
      </c>
      <c r="D415" s="32" t="s">
        <v>1551</v>
      </c>
      <c r="E415" s="86">
        <v>9.6170000000000009</v>
      </c>
      <c r="F415" s="86">
        <v>2.1999999999999999E-2</v>
      </c>
      <c r="G415" s="86">
        <f t="shared" si="93"/>
        <v>9.6390000000000011</v>
      </c>
      <c r="H415" s="86">
        <v>20941.406238</v>
      </c>
      <c r="I415" s="86"/>
      <c r="J415" s="5">
        <f t="shared" si="94"/>
        <v>20941.406238</v>
      </c>
      <c r="K415" s="5">
        <f t="shared" si="95"/>
        <v>2172.5704158107683</v>
      </c>
      <c r="L415" s="5">
        <f t="shared" si="96"/>
        <v>0.64051608101685398</v>
      </c>
      <c r="M415" s="5">
        <f t="shared" si="97"/>
        <v>0</v>
      </c>
      <c r="N415" s="5">
        <f t="shared" si="98"/>
        <v>6787</v>
      </c>
    </row>
    <row r="416" spans="1:14" s="13" customFormat="1" ht="31.5" x14ac:dyDescent="0.25">
      <c r="A416" s="33" t="s">
        <v>769</v>
      </c>
      <c r="B416" s="34" t="s">
        <v>985</v>
      </c>
      <c r="C416" s="30" t="s">
        <v>1552</v>
      </c>
      <c r="D416" s="32" t="s">
        <v>1553</v>
      </c>
      <c r="E416" s="86">
        <v>22.838999999999999</v>
      </c>
      <c r="F416" s="86">
        <v>1.6E-2</v>
      </c>
      <c r="G416" s="86">
        <f t="shared" si="93"/>
        <v>22.854999999999997</v>
      </c>
      <c r="H416" s="86">
        <v>14425.270656000002</v>
      </c>
      <c r="I416" s="86"/>
      <c r="J416" s="5">
        <f t="shared" si="94"/>
        <v>14425.270656000002</v>
      </c>
      <c r="K416" s="5">
        <f t="shared" si="95"/>
        <v>631.16476289652178</v>
      </c>
      <c r="L416" s="5">
        <f t="shared" si="96"/>
        <v>0.18607966741346998</v>
      </c>
      <c r="M416" s="5">
        <f t="shared" si="97"/>
        <v>0</v>
      </c>
      <c r="N416" s="5">
        <f t="shared" si="98"/>
        <v>44275.6</v>
      </c>
    </row>
    <row r="417" spans="1:14" s="13" customFormat="1" ht="31.5" x14ac:dyDescent="0.25">
      <c r="A417" s="33" t="s">
        <v>769</v>
      </c>
      <c r="B417" s="34" t="s">
        <v>984</v>
      </c>
      <c r="C417" s="30" t="s">
        <v>1554</v>
      </c>
      <c r="D417" s="32" t="s">
        <v>1555</v>
      </c>
      <c r="E417" s="86">
        <v>5.1269999999999998</v>
      </c>
      <c r="F417" s="86">
        <v>7.0000000000000001E-3</v>
      </c>
      <c r="G417" s="86">
        <f t="shared" si="93"/>
        <v>5.1339999999999995</v>
      </c>
      <c r="H417" s="86">
        <v>4007.1943739999997</v>
      </c>
      <c r="I417" s="86"/>
      <c r="J417" s="5">
        <f t="shared" si="94"/>
        <v>4007.1943739999997</v>
      </c>
      <c r="K417" s="5">
        <f t="shared" si="95"/>
        <v>780.52091429684458</v>
      </c>
      <c r="L417" s="5">
        <f t="shared" si="96"/>
        <v>0.23011277035664618</v>
      </c>
      <c r="M417" s="5">
        <f t="shared" si="97"/>
        <v>0</v>
      </c>
      <c r="N417" s="5">
        <f t="shared" si="98"/>
        <v>9332.4</v>
      </c>
    </row>
    <row r="418" spans="1:14" s="13" customFormat="1" ht="31.5" x14ac:dyDescent="0.25">
      <c r="A418" s="33" t="s">
        <v>769</v>
      </c>
      <c r="B418" s="34" t="s">
        <v>985</v>
      </c>
      <c r="C418" s="30" t="s">
        <v>1556</v>
      </c>
      <c r="D418" s="32" t="s">
        <v>1557</v>
      </c>
      <c r="E418" s="86">
        <v>24.896000000000001</v>
      </c>
      <c r="F418" s="86">
        <v>7.0000000000000001E-3</v>
      </c>
      <c r="G418" s="86">
        <f t="shared" si="93"/>
        <v>24.903000000000002</v>
      </c>
      <c r="H418" s="86">
        <v>44438.129058000006</v>
      </c>
      <c r="I418" s="86"/>
      <c r="J418" s="5">
        <f t="shared" si="94"/>
        <v>44438.129058000006</v>
      </c>
      <c r="K418" s="5">
        <f t="shared" si="95"/>
        <v>1784.4488237561741</v>
      </c>
      <c r="L418" s="5">
        <f t="shared" si="96"/>
        <v>0.52609027493403571</v>
      </c>
      <c r="M418" s="5">
        <f t="shared" si="97"/>
        <v>0</v>
      </c>
      <c r="N418" s="5">
        <f t="shared" si="98"/>
        <v>25266.9</v>
      </c>
    </row>
    <row r="419" spans="1:14" s="12" customFormat="1" ht="31.5" x14ac:dyDescent="0.25">
      <c r="A419" s="33" t="s">
        <v>769</v>
      </c>
      <c r="B419" s="34" t="s">
        <v>984</v>
      </c>
      <c r="C419" s="30" t="s">
        <v>1558</v>
      </c>
      <c r="D419" s="32" t="s">
        <v>1559</v>
      </c>
      <c r="E419" s="86">
        <v>5.2789999999999999</v>
      </c>
      <c r="F419" s="86">
        <v>4.0000000000000001E-3</v>
      </c>
      <c r="G419" s="86">
        <f t="shared" si="93"/>
        <v>5.2829999999999995</v>
      </c>
      <c r="H419" s="86">
        <v>13811.412606</v>
      </c>
      <c r="I419" s="86"/>
      <c r="J419" s="5">
        <f t="shared" si="94"/>
        <v>13811.412606</v>
      </c>
      <c r="K419" s="5">
        <f t="shared" si="95"/>
        <v>2614.3124372515617</v>
      </c>
      <c r="L419" s="5">
        <f t="shared" si="96"/>
        <v>0.77075023422754763</v>
      </c>
      <c r="M419" s="5">
        <f t="shared" si="97"/>
        <v>0</v>
      </c>
      <c r="N419" s="5">
        <f t="shared" si="98"/>
        <v>1852.9</v>
      </c>
    </row>
    <row r="420" spans="1:14" ht="31.5" x14ac:dyDescent="0.25">
      <c r="A420" s="33" t="s">
        <v>769</v>
      </c>
      <c r="B420" s="34" t="s">
        <v>984</v>
      </c>
      <c r="C420" s="30" t="s">
        <v>1560</v>
      </c>
      <c r="D420" s="32" t="s">
        <v>1561</v>
      </c>
      <c r="E420" s="86">
        <v>30.55</v>
      </c>
      <c r="F420" s="86">
        <v>0.01</v>
      </c>
      <c r="G420" s="86">
        <f t="shared" si="93"/>
        <v>30.560000000000002</v>
      </c>
      <c r="H420" s="86">
        <v>20841.341322</v>
      </c>
      <c r="I420" s="86"/>
      <c r="J420" s="5">
        <f t="shared" si="94"/>
        <v>20841.341322</v>
      </c>
      <c r="K420" s="5">
        <f t="shared" si="95"/>
        <v>681.98106420157069</v>
      </c>
      <c r="L420" s="5">
        <f t="shared" si="96"/>
        <v>0.20106130295762101</v>
      </c>
      <c r="M420" s="5">
        <f t="shared" si="97"/>
        <v>0</v>
      </c>
      <c r="N420" s="5">
        <f t="shared" si="98"/>
        <v>57959.7</v>
      </c>
    </row>
    <row r="421" spans="1:14" ht="31.5" x14ac:dyDescent="0.25">
      <c r="A421" s="33" t="s">
        <v>769</v>
      </c>
      <c r="B421" s="34" t="s">
        <v>984</v>
      </c>
      <c r="C421" s="30" t="s">
        <v>1562</v>
      </c>
      <c r="D421" s="32" t="s">
        <v>1563</v>
      </c>
      <c r="E421" s="86">
        <v>9.9169999999999998</v>
      </c>
      <c r="F421" s="86">
        <v>4.0000000000000001E-3</v>
      </c>
      <c r="G421" s="86">
        <f t="shared" si="93"/>
        <v>9.9209999999999994</v>
      </c>
      <c r="H421" s="86">
        <v>7866.7915560000001</v>
      </c>
      <c r="I421" s="86"/>
      <c r="J421" s="5">
        <f t="shared" si="94"/>
        <v>7866.7915560000001</v>
      </c>
      <c r="K421" s="5">
        <f t="shared" si="95"/>
        <v>792.94340852736627</v>
      </c>
      <c r="L421" s="5">
        <f t="shared" si="96"/>
        <v>0.23377516365036083</v>
      </c>
      <c r="M421" s="5">
        <f t="shared" si="97"/>
        <v>0</v>
      </c>
      <c r="N421" s="5">
        <f t="shared" si="98"/>
        <v>17935.400000000001</v>
      </c>
    </row>
    <row r="422" spans="1:14" ht="31.5" x14ac:dyDescent="0.25">
      <c r="A422" s="33" t="s">
        <v>769</v>
      </c>
      <c r="B422" s="34" t="s">
        <v>984</v>
      </c>
      <c r="C422" s="30" t="s">
        <v>1564</v>
      </c>
      <c r="D422" s="32" t="s">
        <v>1565</v>
      </c>
      <c r="E422" s="86">
        <v>19.635999999999999</v>
      </c>
      <c r="F422" s="86">
        <v>8.0000000000000002E-3</v>
      </c>
      <c r="G422" s="86">
        <f t="shared" ref="G422:G439" si="99">F422+E422</f>
        <v>19.643999999999998</v>
      </c>
      <c r="H422" s="86">
        <v>17333.340425999999</v>
      </c>
      <c r="I422" s="86"/>
      <c r="J422" s="5">
        <f t="shared" ref="J422:J439" si="100">H422+I422</f>
        <v>17333.340425999999</v>
      </c>
      <c r="K422" s="5">
        <f t="shared" ref="K422:K440" si="101">J422/G422</f>
        <v>882.37326542455708</v>
      </c>
      <c r="L422" s="5">
        <f t="shared" si="96"/>
        <v>0.26014082758871943</v>
      </c>
      <c r="M422" s="5">
        <f t="shared" si="97"/>
        <v>0</v>
      </c>
      <c r="N422" s="5">
        <f t="shared" si="98"/>
        <v>34107.4</v>
      </c>
    </row>
    <row r="423" spans="1:14" ht="31.5" x14ac:dyDescent="0.25">
      <c r="A423" s="33" t="s">
        <v>769</v>
      </c>
      <c r="B423" s="34" t="s">
        <v>984</v>
      </c>
      <c r="C423" s="30" t="s">
        <v>1566</v>
      </c>
      <c r="D423" s="32" t="s">
        <v>1567</v>
      </c>
      <c r="E423" s="86">
        <v>7.0949999999999998</v>
      </c>
      <c r="F423" s="86">
        <v>5.0000000000000001E-3</v>
      </c>
      <c r="G423" s="86">
        <f t="shared" si="99"/>
        <v>7.1</v>
      </c>
      <c r="H423" s="86">
        <v>5655.2207819999994</v>
      </c>
      <c r="I423" s="86">
        <f>(-3.16)*0.6</f>
        <v>-1.8959999999999999</v>
      </c>
      <c r="J423" s="5">
        <f t="shared" si="100"/>
        <v>5653.3247819999997</v>
      </c>
      <c r="K423" s="5">
        <f t="shared" si="101"/>
        <v>796.24292704225354</v>
      </c>
      <c r="L423" s="5">
        <f t="shared" si="96"/>
        <v>0.23474792598433078</v>
      </c>
      <c r="M423" s="5">
        <f t="shared" si="97"/>
        <v>0</v>
      </c>
      <c r="N423" s="5">
        <f t="shared" si="98"/>
        <v>12816.8</v>
      </c>
    </row>
    <row r="424" spans="1:14" ht="15.75" x14ac:dyDescent="0.25">
      <c r="A424" s="33" t="s">
        <v>769</v>
      </c>
      <c r="B424" s="34" t="s">
        <v>983</v>
      </c>
      <c r="C424" s="30" t="s">
        <v>1568</v>
      </c>
      <c r="D424" s="32" t="s">
        <v>1569</v>
      </c>
      <c r="E424" s="86">
        <v>23.600999999999999</v>
      </c>
      <c r="F424" s="86">
        <v>8.0000000000000002E-3</v>
      </c>
      <c r="G424" s="86">
        <f t="shared" si="99"/>
        <v>23.608999999999998</v>
      </c>
      <c r="H424" s="86">
        <v>48736.102379999997</v>
      </c>
      <c r="I424" s="86"/>
      <c r="J424" s="5">
        <f t="shared" si="100"/>
        <v>48736.102379999997</v>
      </c>
      <c r="K424" s="5">
        <f t="shared" si="101"/>
        <v>2064.3018501418951</v>
      </c>
      <c r="L424" s="5">
        <f t="shared" si="96"/>
        <v>0.60859639874793048</v>
      </c>
      <c r="M424" s="5">
        <f t="shared" si="97"/>
        <v>0</v>
      </c>
      <c r="N424" s="5">
        <f t="shared" si="98"/>
        <v>18668.400000000001</v>
      </c>
    </row>
    <row r="425" spans="1:14" ht="15.75" x14ac:dyDescent="0.25">
      <c r="A425" s="33" t="s">
        <v>769</v>
      </c>
      <c r="B425" s="34" t="s">
        <v>983</v>
      </c>
      <c r="C425" s="30" t="s">
        <v>1570</v>
      </c>
      <c r="D425" s="32" t="s">
        <v>1571</v>
      </c>
      <c r="E425" s="86">
        <v>27.577000000000002</v>
      </c>
      <c r="F425" s="86">
        <v>3.2000000000000001E-2</v>
      </c>
      <c r="G425" s="86">
        <f t="shared" si="99"/>
        <v>27.609000000000002</v>
      </c>
      <c r="H425" s="86">
        <v>61926.102965999999</v>
      </c>
      <c r="I425" s="86"/>
      <c r="J425" s="5">
        <f t="shared" si="100"/>
        <v>61926.102965999999</v>
      </c>
      <c r="K425" s="5">
        <f t="shared" si="101"/>
        <v>2242.9679802238397</v>
      </c>
      <c r="L425" s="5">
        <f t="shared" si="96"/>
        <v>0.66127065437514254</v>
      </c>
      <c r="M425" s="5">
        <f t="shared" si="97"/>
        <v>0</v>
      </c>
      <c r="N425" s="5">
        <f t="shared" si="98"/>
        <v>17885.099999999999</v>
      </c>
    </row>
    <row r="426" spans="1:14" ht="31.5" x14ac:dyDescent="0.25">
      <c r="A426" s="33" t="s">
        <v>769</v>
      </c>
      <c r="B426" s="34" t="s">
        <v>985</v>
      </c>
      <c r="C426" s="30" t="s">
        <v>1572</v>
      </c>
      <c r="D426" s="32" t="s">
        <v>1573</v>
      </c>
      <c r="E426" s="86">
        <v>14.39</v>
      </c>
      <c r="F426" s="86">
        <v>6.0000000000000001E-3</v>
      </c>
      <c r="G426" s="86">
        <f t="shared" si="99"/>
        <v>14.396000000000001</v>
      </c>
      <c r="H426" s="86">
        <v>24147.810065999995</v>
      </c>
      <c r="I426" s="86">
        <f>(-8570.801)*0.6</f>
        <v>-5142.4805999999999</v>
      </c>
      <c r="J426" s="5">
        <f t="shared" si="100"/>
        <v>19005.329465999996</v>
      </c>
      <c r="K426" s="5">
        <f t="shared" si="101"/>
        <v>1320.181263267574</v>
      </c>
      <c r="L426" s="5">
        <f t="shared" si="96"/>
        <v>0.38921515400662521</v>
      </c>
      <c r="M426" s="5">
        <f t="shared" si="97"/>
        <v>0</v>
      </c>
      <c r="N426" s="5">
        <f t="shared" si="98"/>
        <v>19953.3</v>
      </c>
    </row>
    <row r="427" spans="1:14" ht="31.5" x14ac:dyDescent="0.25">
      <c r="A427" s="33" t="s">
        <v>769</v>
      </c>
      <c r="B427" s="34" t="s">
        <v>984</v>
      </c>
      <c r="C427" s="30" t="s">
        <v>1574</v>
      </c>
      <c r="D427" s="32" t="s">
        <v>1575</v>
      </c>
      <c r="E427" s="86">
        <v>6.3760000000000003</v>
      </c>
      <c r="F427" s="86">
        <v>1E-3</v>
      </c>
      <c r="G427" s="86">
        <f t="shared" si="99"/>
        <v>6.3770000000000007</v>
      </c>
      <c r="H427" s="86">
        <v>5790.7205999999996</v>
      </c>
      <c r="I427" s="86"/>
      <c r="J427" s="5">
        <f t="shared" si="100"/>
        <v>5790.7205999999996</v>
      </c>
      <c r="K427" s="5">
        <f t="shared" si="101"/>
        <v>908.06344676180004</v>
      </c>
      <c r="L427" s="5">
        <f t="shared" si="96"/>
        <v>0.26771479350070687</v>
      </c>
      <c r="M427" s="5">
        <f t="shared" si="97"/>
        <v>0</v>
      </c>
      <c r="N427" s="5">
        <f t="shared" si="98"/>
        <v>10941.2</v>
      </c>
    </row>
    <row r="428" spans="1:14" ht="31.5" x14ac:dyDescent="0.25">
      <c r="A428" s="33" t="s">
        <v>769</v>
      </c>
      <c r="B428" s="34" t="s">
        <v>985</v>
      </c>
      <c r="C428" s="30" t="s">
        <v>1576</v>
      </c>
      <c r="D428" s="32" t="s">
        <v>1577</v>
      </c>
      <c r="E428" s="86">
        <v>35.139000000000003</v>
      </c>
      <c r="F428" s="86">
        <v>7.0000000000000001E-3</v>
      </c>
      <c r="G428" s="86">
        <f t="shared" si="99"/>
        <v>35.146000000000001</v>
      </c>
      <c r="H428" s="86">
        <v>22276.412567999996</v>
      </c>
      <c r="I428" s="86"/>
      <c r="J428" s="5">
        <f t="shared" si="100"/>
        <v>22276.412567999996</v>
      </c>
      <c r="K428" s="5">
        <f t="shared" si="101"/>
        <v>633.82497490468324</v>
      </c>
      <c r="L428" s="5">
        <f t="shared" si="96"/>
        <v>0.18686394973534157</v>
      </c>
      <c r="M428" s="5">
        <f t="shared" si="97"/>
        <v>0</v>
      </c>
      <c r="N428" s="5">
        <f t="shared" si="98"/>
        <v>68011.5</v>
      </c>
    </row>
    <row r="429" spans="1:14" ht="31.5" x14ac:dyDescent="0.25">
      <c r="A429" s="33" t="s">
        <v>769</v>
      </c>
      <c r="B429" s="34" t="s">
        <v>984</v>
      </c>
      <c r="C429" s="30" t="s">
        <v>1578</v>
      </c>
      <c r="D429" s="32" t="s">
        <v>1579</v>
      </c>
      <c r="E429" s="86">
        <v>7.0019999999999998</v>
      </c>
      <c r="F429" s="86">
        <v>1.2E-2</v>
      </c>
      <c r="G429" s="86">
        <f t="shared" si="99"/>
        <v>7.0139999999999993</v>
      </c>
      <c r="H429" s="86">
        <v>6394.0472639999989</v>
      </c>
      <c r="I429" s="86"/>
      <c r="J429" s="5">
        <f t="shared" si="100"/>
        <v>6394.0472639999989</v>
      </c>
      <c r="K429" s="5">
        <f t="shared" si="101"/>
        <v>911.61209923011108</v>
      </c>
      <c r="L429" s="5">
        <f t="shared" si="96"/>
        <v>0.26876100537736319</v>
      </c>
      <c r="M429" s="5">
        <f t="shared" si="97"/>
        <v>0</v>
      </c>
      <c r="N429" s="5">
        <f t="shared" si="98"/>
        <v>12014.2</v>
      </c>
    </row>
    <row r="430" spans="1:14" ht="31.5" x14ac:dyDescent="0.25">
      <c r="A430" s="33" t="s">
        <v>769</v>
      </c>
      <c r="B430" s="34" t="s">
        <v>984</v>
      </c>
      <c r="C430" s="30" t="s">
        <v>1580</v>
      </c>
      <c r="D430" s="32" t="s">
        <v>1581</v>
      </c>
      <c r="E430" s="86">
        <v>9.4510000000000005</v>
      </c>
      <c r="F430" s="86">
        <v>3.0000000000000001E-3</v>
      </c>
      <c r="G430" s="86">
        <f t="shared" si="99"/>
        <v>9.4540000000000006</v>
      </c>
      <c r="H430" s="86">
        <v>24855.460763999999</v>
      </c>
      <c r="I430" s="86">
        <f>(48.328)*0.6</f>
        <v>28.9968</v>
      </c>
      <c r="J430" s="5">
        <f t="shared" si="100"/>
        <v>24884.457564</v>
      </c>
      <c r="K430" s="5">
        <f t="shared" si="101"/>
        <v>2632.1617901417389</v>
      </c>
      <c r="L430" s="5">
        <f t="shared" si="96"/>
        <v>0.77601257117124411</v>
      </c>
      <c r="M430" s="5">
        <f t="shared" si="97"/>
        <v>0</v>
      </c>
      <c r="N430" s="5">
        <f t="shared" si="98"/>
        <v>3180.7</v>
      </c>
    </row>
    <row r="431" spans="1:14" ht="31.5" x14ac:dyDescent="0.25">
      <c r="A431" s="33" t="s">
        <v>769</v>
      </c>
      <c r="B431" s="34" t="s">
        <v>985</v>
      </c>
      <c r="C431" s="30" t="s">
        <v>1582</v>
      </c>
      <c r="D431" s="32" t="s">
        <v>1583</v>
      </c>
      <c r="E431" s="86">
        <v>16.675000000000001</v>
      </c>
      <c r="F431" s="86">
        <v>1.2999999999999999E-2</v>
      </c>
      <c r="G431" s="86">
        <f t="shared" si="99"/>
        <v>16.688000000000002</v>
      </c>
      <c r="H431" s="86">
        <v>11580.514919999998</v>
      </c>
      <c r="I431" s="86"/>
      <c r="J431" s="5">
        <f t="shared" si="100"/>
        <v>11580.514919999998</v>
      </c>
      <c r="K431" s="5">
        <f t="shared" si="101"/>
        <v>693.94264860977921</v>
      </c>
      <c r="L431" s="5">
        <f t="shared" si="96"/>
        <v>0.2045878110570323</v>
      </c>
      <c r="M431" s="5">
        <f t="shared" si="97"/>
        <v>0</v>
      </c>
      <c r="N431" s="5">
        <f t="shared" si="98"/>
        <v>31490.6</v>
      </c>
    </row>
    <row r="432" spans="1:14" ht="31.5" x14ac:dyDescent="0.25">
      <c r="A432" s="33" t="s">
        <v>769</v>
      </c>
      <c r="B432" s="34" t="s">
        <v>984</v>
      </c>
      <c r="C432" s="30" t="s">
        <v>1584</v>
      </c>
      <c r="D432" s="32" t="s">
        <v>1585</v>
      </c>
      <c r="E432" s="86">
        <v>16.106999999999999</v>
      </c>
      <c r="F432" s="86">
        <v>1.6E-2</v>
      </c>
      <c r="G432" s="86">
        <f t="shared" si="99"/>
        <v>16.122999999999998</v>
      </c>
      <c r="H432" s="86">
        <v>13234.254005999999</v>
      </c>
      <c r="I432" s="86"/>
      <c r="J432" s="5">
        <f t="shared" si="100"/>
        <v>13234.254005999999</v>
      </c>
      <c r="K432" s="5">
        <f t="shared" si="101"/>
        <v>820.83073906841162</v>
      </c>
      <c r="L432" s="5">
        <f t="shared" si="96"/>
        <v>0.2419968919488685</v>
      </c>
      <c r="M432" s="5">
        <f t="shared" si="97"/>
        <v>0</v>
      </c>
      <c r="N432" s="5">
        <f t="shared" si="98"/>
        <v>28787.7</v>
      </c>
    </row>
    <row r="433" spans="1:14" ht="15.75" x14ac:dyDescent="0.25">
      <c r="A433" s="33" t="s">
        <v>769</v>
      </c>
      <c r="B433" s="34" t="s">
        <v>984</v>
      </c>
      <c r="C433" s="30" t="s">
        <v>1586</v>
      </c>
      <c r="D433" s="32" t="s">
        <v>1587</v>
      </c>
      <c r="E433" s="86">
        <v>10.646000000000001</v>
      </c>
      <c r="F433" s="86">
        <v>0.01</v>
      </c>
      <c r="G433" s="86">
        <f t="shared" si="99"/>
        <v>10.656000000000001</v>
      </c>
      <c r="H433" s="86">
        <v>7192.9893539999994</v>
      </c>
      <c r="I433" s="86"/>
      <c r="J433" s="5">
        <f t="shared" si="100"/>
        <v>7192.9893539999994</v>
      </c>
      <c r="K433" s="5">
        <f t="shared" si="101"/>
        <v>675.01776970720709</v>
      </c>
      <c r="L433" s="5">
        <f t="shared" si="96"/>
        <v>0.19900838809325672</v>
      </c>
      <c r="M433" s="5">
        <f t="shared" si="97"/>
        <v>0</v>
      </c>
      <c r="N433" s="5">
        <f t="shared" si="98"/>
        <v>20269.400000000001</v>
      </c>
    </row>
    <row r="434" spans="1:14" ht="31.5" x14ac:dyDescent="0.25">
      <c r="A434" s="33" t="s">
        <v>769</v>
      </c>
      <c r="B434" s="34" t="s">
        <v>986</v>
      </c>
      <c r="C434" s="30" t="s">
        <v>1588</v>
      </c>
      <c r="D434" s="32" t="s">
        <v>1589</v>
      </c>
      <c r="E434" s="86">
        <v>115.542</v>
      </c>
      <c r="F434" s="86">
        <v>1.4259999999999999</v>
      </c>
      <c r="G434" s="86">
        <f t="shared" si="99"/>
        <v>116.968</v>
      </c>
      <c r="H434" s="86">
        <v>701829.85416999995</v>
      </c>
      <c r="I434" s="86">
        <f>(-48.328-2.329-55.153-8.751-1.65-43.386-9.132-15.568-20.97-17.007-5.466-0.656-3.053-497.295-67.506-59.628-49.876-7.173-7.118-2.72-65.292-55.38-10.942-9.71+8570.801-43.916)*0.6</f>
        <v>4477.6775999999991</v>
      </c>
      <c r="J434" s="5">
        <f t="shared" si="100"/>
        <v>706307.53177</v>
      </c>
      <c r="K434" s="5">
        <f t="shared" si="101"/>
        <v>6038.4680576738938</v>
      </c>
      <c r="L434" s="5">
        <f t="shared" si="96"/>
        <v>1.7802580148838856</v>
      </c>
      <c r="M434" s="5">
        <f t="shared" si="97"/>
        <v>134944.29999999999</v>
      </c>
      <c r="N434" s="5">
        <f t="shared" si="98"/>
        <v>0</v>
      </c>
    </row>
    <row r="435" spans="1:14" ht="31.5" x14ac:dyDescent="0.25">
      <c r="A435" s="33" t="s">
        <v>769</v>
      </c>
      <c r="B435" s="34" t="s">
        <v>985</v>
      </c>
      <c r="C435" s="30" t="s">
        <v>1590</v>
      </c>
      <c r="D435" s="32" t="s">
        <v>1591</v>
      </c>
      <c r="E435" s="86">
        <v>6.9089999999999998</v>
      </c>
      <c r="F435" s="86">
        <v>1E-3</v>
      </c>
      <c r="G435" s="86">
        <f t="shared" si="99"/>
        <v>6.91</v>
      </c>
      <c r="H435" s="86">
        <v>13440.030497999998</v>
      </c>
      <c r="I435" s="86"/>
      <c r="J435" s="5">
        <f t="shared" si="100"/>
        <v>13440.030497999998</v>
      </c>
      <c r="K435" s="5">
        <f t="shared" si="101"/>
        <v>1945.0116494934873</v>
      </c>
      <c r="L435" s="5">
        <f t="shared" si="96"/>
        <v>0.57342732378171435</v>
      </c>
      <c r="M435" s="5">
        <f t="shared" si="97"/>
        <v>0</v>
      </c>
      <c r="N435" s="5">
        <f t="shared" si="98"/>
        <v>6123.4</v>
      </c>
    </row>
    <row r="436" spans="1:14" ht="15.75" x14ac:dyDescent="0.25">
      <c r="A436" s="33" t="s">
        <v>769</v>
      </c>
      <c r="B436" s="34" t="s">
        <v>986</v>
      </c>
      <c r="C436" s="30" t="s">
        <v>1592</v>
      </c>
      <c r="D436" s="32" t="s">
        <v>1593</v>
      </c>
      <c r="E436" s="86">
        <v>80.858000000000004</v>
      </c>
      <c r="F436" s="86">
        <v>9.7000000000000003E-2</v>
      </c>
      <c r="G436" s="86">
        <f t="shared" si="99"/>
        <v>80.954999999999998</v>
      </c>
      <c r="H436" s="86">
        <v>131060.19109200002</v>
      </c>
      <c r="I436" s="86">
        <f>(13592.5)*0.6</f>
        <v>8155.5</v>
      </c>
      <c r="J436" s="5">
        <f t="shared" si="100"/>
        <v>139215.69109200002</v>
      </c>
      <c r="K436" s="5">
        <f t="shared" si="101"/>
        <v>1719.6676065962574</v>
      </c>
      <c r="L436" s="5">
        <f t="shared" si="96"/>
        <v>0.50699151015439703</v>
      </c>
      <c r="M436" s="5">
        <f t="shared" si="97"/>
        <v>0</v>
      </c>
      <c r="N436" s="5">
        <f t="shared" si="98"/>
        <v>86333.5</v>
      </c>
    </row>
    <row r="437" spans="1:14" ht="31.5" x14ac:dyDescent="0.25">
      <c r="A437" s="33" t="s">
        <v>769</v>
      </c>
      <c r="B437" s="34" t="s">
        <v>985</v>
      </c>
      <c r="C437" s="30" t="s">
        <v>1594</v>
      </c>
      <c r="D437" s="32" t="s">
        <v>1595</v>
      </c>
      <c r="E437" s="86">
        <v>14.839</v>
      </c>
      <c r="F437" s="86">
        <v>6.0000000000000001E-3</v>
      </c>
      <c r="G437" s="86">
        <f t="shared" si="99"/>
        <v>14.845000000000001</v>
      </c>
      <c r="H437" s="86">
        <v>15272.575325999998</v>
      </c>
      <c r="I437" s="86"/>
      <c r="J437" s="5">
        <f t="shared" si="100"/>
        <v>15272.575325999998</v>
      </c>
      <c r="K437" s="5">
        <f t="shared" si="101"/>
        <v>1028.8026491074434</v>
      </c>
      <c r="L437" s="5">
        <f t="shared" si="96"/>
        <v>0.30331106239433081</v>
      </c>
      <c r="M437" s="5">
        <f t="shared" si="97"/>
        <v>0</v>
      </c>
      <c r="N437" s="5">
        <f t="shared" si="98"/>
        <v>24036</v>
      </c>
    </row>
    <row r="438" spans="1:14" ht="15.75" x14ac:dyDescent="0.25">
      <c r="A438" s="33" t="s">
        <v>769</v>
      </c>
      <c r="B438" s="34" t="s">
        <v>986</v>
      </c>
      <c r="C438" s="30" t="s">
        <v>1596</v>
      </c>
      <c r="D438" s="32" t="s">
        <v>1597</v>
      </c>
      <c r="E438" s="86">
        <v>15.545</v>
      </c>
      <c r="F438" s="86">
        <v>4.8000000000000001E-2</v>
      </c>
      <c r="G438" s="86">
        <f t="shared" si="99"/>
        <v>15.593</v>
      </c>
      <c r="H438" s="86">
        <v>69663.052351999999</v>
      </c>
      <c r="I438" s="86"/>
      <c r="J438" s="5">
        <f t="shared" si="100"/>
        <v>69663.052351999999</v>
      </c>
      <c r="K438" s="5">
        <f t="shared" si="101"/>
        <v>4467.5849645353683</v>
      </c>
      <c r="L438" s="5">
        <f t="shared" si="96"/>
        <v>1.3171310776714809</v>
      </c>
      <c r="M438" s="5">
        <f t="shared" si="97"/>
        <v>5742</v>
      </c>
      <c r="N438" s="5">
        <f t="shared" si="98"/>
        <v>0</v>
      </c>
    </row>
    <row r="439" spans="1:14" ht="31.5" x14ac:dyDescent="0.25">
      <c r="A439" s="33" t="s">
        <v>769</v>
      </c>
      <c r="B439" s="34" t="s">
        <v>985</v>
      </c>
      <c r="C439" s="30" t="s">
        <v>1598</v>
      </c>
      <c r="D439" s="32" t="s">
        <v>2827</v>
      </c>
      <c r="E439" s="86">
        <v>18.712</v>
      </c>
      <c r="F439" s="86">
        <v>7.0000000000000001E-3</v>
      </c>
      <c r="G439" s="86">
        <f t="shared" si="99"/>
        <v>18.719000000000001</v>
      </c>
      <c r="H439" s="86">
        <v>22048.012811999997</v>
      </c>
      <c r="I439" s="86"/>
      <c r="J439" s="5">
        <f t="shared" si="100"/>
        <v>22048.012811999997</v>
      </c>
      <c r="K439" s="5">
        <f t="shared" si="101"/>
        <v>1177.8413810566801</v>
      </c>
      <c r="L439" s="5">
        <f>K439/$K$1659</f>
        <v>0.34725058389988428</v>
      </c>
      <c r="M439" s="5">
        <f t="shared" si="97"/>
        <v>0</v>
      </c>
      <c r="N439" s="5">
        <f t="shared" si="98"/>
        <v>28076.6</v>
      </c>
    </row>
    <row r="440" spans="1:14" ht="15.75" x14ac:dyDescent="0.25">
      <c r="A440" s="17" t="s">
        <v>773</v>
      </c>
      <c r="B440" s="17" t="s">
        <v>7</v>
      </c>
      <c r="C440" s="17" t="s">
        <v>774</v>
      </c>
      <c r="D440" s="11" t="s">
        <v>12</v>
      </c>
      <c r="E440" s="11">
        <f t="shared" ref="E440:J440" si="102">E441+E442+E448</f>
        <v>1666.5149999999999</v>
      </c>
      <c r="F440" s="11">
        <f t="shared" si="102"/>
        <v>56.658999999999999</v>
      </c>
      <c r="G440" s="11">
        <f t="shared" si="102"/>
        <v>1721.0610000000001</v>
      </c>
      <c r="H440" s="11">
        <f t="shared" si="102"/>
        <v>6732174.4879999971</v>
      </c>
      <c r="I440" s="11">
        <f t="shared" si="102"/>
        <v>-1027.6465980000066</v>
      </c>
      <c r="J440" s="11">
        <f t="shared" si="102"/>
        <v>6731146.841401998</v>
      </c>
      <c r="K440" s="11">
        <f t="shared" si="101"/>
        <v>3911.0448969571662</v>
      </c>
      <c r="L440" s="11">
        <f>K440/$K$1659</f>
        <v>1.1530522241531633</v>
      </c>
      <c r="M440" s="11">
        <f>M441+M442+M448</f>
        <v>786807.60000000009</v>
      </c>
      <c r="N440" s="11">
        <f>N441+N442+N448</f>
        <v>551238.89999999991</v>
      </c>
    </row>
    <row r="441" spans="1:14" ht="15.75" x14ac:dyDescent="0.25">
      <c r="A441" s="33" t="s">
        <v>773</v>
      </c>
      <c r="B441" s="34" t="s">
        <v>6</v>
      </c>
      <c r="C441" s="18" t="s">
        <v>85</v>
      </c>
      <c r="D441" s="32" t="s">
        <v>845</v>
      </c>
      <c r="E441" s="5">
        <v>0</v>
      </c>
      <c r="F441" s="5">
        <v>2.113</v>
      </c>
      <c r="G441" s="5"/>
      <c r="H441" s="5"/>
      <c r="I441" s="5"/>
      <c r="J441" s="5"/>
      <c r="K441" s="5"/>
      <c r="L441" s="5"/>
      <c r="M441" s="5"/>
      <c r="N441" s="5"/>
    </row>
    <row r="442" spans="1:14" ht="15.75" x14ac:dyDescent="0.25">
      <c r="A442" s="19" t="s">
        <v>773</v>
      </c>
      <c r="B442" s="19" t="s">
        <v>5</v>
      </c>
      <c r="C442" s="19" t="s">
        <v>775</v>
      </c>
      <c r="D442" s="7" t="s">
        <v>2800</v>
      </c>
      <c r="E442" s="7">
        <f t="shared" ref="E442:J442" si="103">SUM(E443:E447)</f>
        <v>0</v>
      </c>
      <c r="F442" s="7">
        <f t="shared" si="103"/>
        <v>0</v>
      </c>
      <c r="G442" s="7">
        <f t="shared" si="103"/>
        <v>0</v>
      </c>
      <c r="H442" s="7">
        <f t="shared" si="103"/>
        <v>0</v>
      </c>
      <c r="I442" s="7">
        <f t="shared" si="103"/>
        <v>0</v>
      </c>
      <c r="J442" s="7">
        <f t="shared" si="103"/>
        <v>0</v>
      </c>
      <c r="K442" s="7" t="e">
        <f>J442/G442</f>
        <v>#DIV/0!</v>
      </c>
      <c r="L442" s="7" t="e">
        <f>K442/$K$1659</f>
        <v>#DIV/0!</v>
      </c>
      <c r="M442" s="7">
        <f>SUM(M443:M447)</f>
        <v>0</v>
      </c>
      <c r="N442" s="7">
        <f>SUM(N443:N447)</f>
        <v>0</v>
      </c>
    </row>
    <row r="443" spans="1:14" ht="15.75" x14ac:dyDescent="0.25">
      <c r="A443" s="33" t="s">
        <v>773</v>
      </c>
      <c r="B443" s="34" t="s">
        <v>4</v>
      </c>
      <c r="C443" s="18" t="s">
        <v>86</v>
      </c>
      <c r="D443" s="32" t="s">
        <v>905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</row>
    <row r="444" spans="1:14" s="13" customFormat="1" ht="15.75" x14ac:dyDescent="0.25">
      <c r="A444" s="33" t="s">
        <v>773</v>
      </c>
      <c r="B444" s="34" t="s">
        <v>4</v>
      </c>
      <c r="C444" s="18" t="s">
        <v>87</v>
      </c>
      <c r="D444" s="32" t="s">
        <v>906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</row>
    <row r="445" spans="1:14" s="13" customFormat="1" ht="15.75" x14ac:dyDescent="0.25">
      <c r="A445" s="33" t="s">
        <v>773</v>
      </c>
      <c r="B445" s="34" t="s">
        <v>4</v>
      </c>
      <c r="C445" s="18" t="s">
        <v>88</v>
      </c>
      <c r="D445" s="32" t="s">
        <v>907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</row>
    <row r="446" spans="1:14" s="13" customFormat="1" ht="15.75" x14ac:dyDescent="0.25">
      <c r="A446" s="33" t="s">
        <v>773</v>
      </c>
      <c r="B446" s="34" t="s">
        <v>4</v>
      </c>
      <c r="C446" s="18" t="s">
        <v>89</v>
      </c>
      <c r="D446" s="32" t="s">
        <v>908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</row>
    <row r="447" spans="1:14" s="13" customFormat="1" ht="15.75" x14ac:dyDescent="0.25">
      <c r="A447" s="33" t="s">
        <v>773</v>
      </c>
      <c r="B447" s="34" t="s">
        <v>4</v>
      </c>
      <c r="C447" s="18" t="s">
        <v>90</v>
      </c>
      <c r="D447" s="32" t="s">
        <v>909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</row>
    <row r="448" spans="1:14" s="13" customFormat="1" ht="31.5" x14ac:dyDescent="0.25">
      <c r="A448" s="19" t="s">
        <v>773</v>
      </c>
      <c r="B448" s="19" t="s">
        <v>28</v>
      </c>
      <c r="C448" s="19" t="s">
        <v>776</v>
      </c>
      <c r="D448" s="20" t="s">
        <v>2774</v>
      </c>
      <c r="E448" s="7">
        <f t="shared" ref="E448:J448" si="104">SUM(E449:E515)</f>
        <v>1666.5149999999999</v>
      </c>
      <c r="F448" s="7">
        <f t="shared" si="104"/>
        <v>54.545999999999999</v>
      </c>
      <c r="G448" s="7">
        <f t="shared" si="104"/>
        <v>1721.0610000000001</v>
      </c>
      <c r="H448" s="7">
        <f t="shared" si="104"/>
        <v>6732174.4879999971</v>
      </c>
      <c r="I448" s="7">
        <f t="shared" si="104"/>
        <v>-1027.6465980000066</v>
      </c>
      <c r="J448" s="7">
        <f t="shared" si="104"/>
        <v>6731146.841401998</v>
      </c>
      <c r="K448" s="7">
        <f t="shared" ref="K448:K457" si="105">J448/G448</f>
        <v>3911.0448969571662</v>
      </c>
      <c r="L448" s="7">
        <f t="shared" ref="L448:L479" si="106">K448/$K$1659</f>
        <v>1.1530522241531633</v>
      </c>
      <c r="M448" s="7">
        <f>SUM(M449:M515)</f>
        <v>786807.60000000009</v>
      </c>
      <c r="N448" s="7">
        <f>SUM(N449:N515)</f>
        <v>551238.89999999991</v>
      </c>
    </row>
    <row r="449" spans="1:14" s="13" customFormat="1" ht="31.5" x14ac:dyDescent="0.25">
      <c r="A449" s="33" t="s">
        <v>773</v>
      </c>
      <c r="B449" s="34" t="s">
        <v>984</v>
      </c>
      <c r="C449" s="18" t="s">
        <v>91</v>
      </c>
      <c r="D449" s="32" t="s">
        <v>1599</v>
      </c>
      <c r="E449" s="5">
        <v>4.468</v>
      </c>
      <c r="F449" s="5">
        <v>0.20599999999999999</v>
      </c>
      <c r="G449" s="5">
        <f t="shared" ref="G449:G484" si="107">F449+E449</f>
        <v>4.6740000000000004</v>
      </c>
      <c r="H449" s="5">
        <v>9078.3790000000008</v>
      </c>
      <c r="I449" s="5"/>
      <c r="J449" s="5">
        <f t="shared" ref="J449:J476" si="108">H449+I449</f>
        <v>9078.3790000000008</v>
      </c>
      <c r="K449" s="5">
        <f t="shared" si="105"/>
        <v>1942.3147197261446</v>
      </c>
      <c r="L449" s="5">
        <f t="shared" si="106"/>
        <v>0.57263221634916128</v>
      </c>
      <c r="M449" s="5">
        <f t="shared" ref="M449:M480" si="109">ROUND(IF(L449&lt;110%,0,(K449-$K$1659*1.1)*0.5)*G449,1)</f>
        <v>0</v>
      </c>
      <c r="N449" s="5">
        <f t="shared" ref="N449:N480" si="110">ROUND(IF(L449&gt;90%,0,(-K449+$K$1659*0.9)*0.8)*G449,1)</f>
        <v>4152</v>
      </c>
    </row>
    <row r="450" spans="1:14" s="13" customFormat="1" ht="31.5" x14ac:dyDescent="0.25">
      <c r="A450" s="33" t="s">
        <v>773</v>
      </c>
      <c r="B450" s="34" t="s">
        <v>985</v>
      </c>
      <c r="C450" s="18" t="s">
        <v>92</v>
      </c>
      <c r="D450" s="32" t="s">
        <v>1600</v>
      </c>
      <c r="E450" s="5">
        <v>13.739000000000001</v>
      </c>
      <c r="F450" s="5">
        <v>0.108</v>
      </c>
      <c r="G450" s="5">
        <f t="shared" si="107"/>
        <v>13.847000000000001</v>
      </c>
      <c r="H450" s="5">
        <v>30786.406999999999</v>
      </c>
      <c r="I450" s="5"/>
      <c r="J450" s="5">
        <f t="shared" si="108"/>
        <v>30786.406999999999</v>
      </c>
      <c r="K450" s="5">
        <f t="shared" si="105"/>
        <v>2223.3268578031339</v>
      </c>
      <c r="L450" s="5">
        <f t="shared" si="106"/>
        <v>0.65548006886954546</v>
      </c>
      <c r="M450" s="5">
        <f t="shared" si="109"/>
        <v>0</v>
      </c>
      <c r="N450" s="5">
        <f t="shared" si="110"/>
        <v>9187.6</v>
      </c>
    </row>
    <row r="451" spans="1:14" s="13" customFormat="1" ht="31.5" x14ac:dyDescent="0.25">
      <c r="A451" s="33" t="s">
        <v>773</v>
      </c>
      <c r="B451" s="34" t="s">
        <v>985</v>
      </c>
      <c r="C451" s="18" t="s">
        <v>93</v>
      </c>
      <c r="D451" s="32" t="s">
        <v>1601</v>
      </c>
      <c r="E451" s="5">
        <v>5.9690000000000003</v>
      </c>
      <c r="F451" s="5">
        <v>0.57399999999999995</v>
      </c>
      <c r="G451" s="5">
        <f t="shared" si="107"/>
        <v>6.5430000000000001</v>
      </c>
      <c r="H451" s="5">
        <v>17053.319</v>
      </c>
      <c r="I451" s="5"/>
      <c r="J451" s="5">
        <f t="shared" si="108"/>
        <v>17053.319</v>
      </c>
      <c r="K451" s="5">
        <f t="shared" si="105"/>
        <v>2606.3455601406081</v>
      </c>
      <c r="L451" s="5">
        <f t="shared" si="106"/>
        <v>0.76840144365767027</v>
      </c>
      <c r="M451" s="5">
        <f t="shared" si="109"/>
        <v>0</v>
      </c>
      <c r="N451" s="5">
        <f t="shared" si="110"/>
        <v>2336.5</v>
      </c>
    </row>
    <row r="452" spans="1:14" s="13" customFormat="1" ht="31.5" x14ac:dyDescent="0.25">
      <c r="A452" s="33" t="s">
        <v>773</v>
      </c>
      <c r="B452" s="34" t="s">
        <v>984</v>
      </c>
      <c r="C452" s="18" t="s">
        <v>94</v>
      </c>
      <c r="D452" s="32" t="s">
        <v>1602</v>
      </c>
      <c r="E452" s="5">
        <v>5.3529999999999998</v>
      </c>
      <c r="F452" s="5">
        <v>9.9000000000000005E-2</v>
      </c>
      <c r="G452" s="5">
        <f t="shared" si="107"/>
        <v>5.452</v>
      </c>
      <c r="H452" s="5">
        <v>10937.066000000001</v>
      </c>
      <c r="I452" s="5"/>
      <c r="J452" s="5">
        <f t="shared" si="108"/>
        <v>10937.066000000001</v>
      </c>
      <c r="K452" s="5">
        <f t="shared" si="105"/>
        <v>2006.0649303008072</v>
      </c>
      <c r="L452" s="5">
        <f t="shared" si="106"/>
        <v>0.59142702030309613</v>
      </c>
      <c r="M452" s="5">
        <f t="shared" si="109"/>
        <v>0</v>
      </c>
      <c r="N452" s="5">
        <f t="shared" si="110"/>
        <v>4565.1000000000004</v>
      </c>
    </row>
    <row r="453" spans="1:14" s="13" customFormat="1" ht="31.5" x14ac:dyDescent="0.25">
      <c r="A453" s="33" t="s">
        <v>773</v>
      </c>
      <c r="B453" s="34" t="s">
        <v>984</v>
      </c>
      <c r="C453" s="18" t="s">
        <v>95</v>
      </c>
      <c r="D453" s="32" t="s">
        <v>1603</v>
      </c>
      <c r="E453" s="5">
        <v>3.161</v>
      </c>
      <c r="F453" s="5">
        <v>0.28999999999999998</v>
      </c>
      <c r="G453" s="5">
        <f t="shared" si="107"/>
        <v>3.4510000000000001</v>
      </c>
      <c r="H453" s="5">
        <v>14826.084999999999</v>
      </c>
      <c r="I453" s="5"/>
      <c r="J453" s="5">
        <f t="shared" si="108"/>
        <v>14826.084999999999</v>
      </c>
      <c r="K453" s="5">
        <f t="shared" si="105"/>
        <v>4296.1706751666179</v>
      </c>
      <c r="L453" s="5">
        <f t="shared" si="106"/>
        <v>1.2665948059549264</v>
      </c>
      <c r="M453" s="5">
        <f t="shared" si="109"/>
        <v>975</v>
      </c>
      <c r="N453" s="5">
        <f t="shared" si="110"/>
        <v>0</v>
      </c>
    </row>
    <row r="454" spans="1:14" s="13" customFormat="1" ht="31.5" x14ac:dyDescent="0.25">
      <c r="A454" s="33" t="s">
        <v>773</v>
      </c>
      <c r="B454" s="34" t="s">
        <v>984</v>
      </c>
      <c r="C454" s="18" t="s">
        <v>232</v>
      </c>
      <c r="D454" s="32" t="s">
        <v>1604</v>
      </c>
      <c r="E454" s="5">
        <v>5.3620000000000001</v>
      </c>
      <c r="F454" s="5">
        <v>0.317</v>
      </c>
      <c r="G454" s="5">
        <f t="shared" si="107"/>
        <v>5.6790000000000003</v>
      </c>
      <c r="H454" s="5">
        <v>13639.11</v>
      </c>
      <c r="I454" s="5"/>
      <c r="J454" s="5">
        <f t="shared" si="108"/>
        <v>13639.11</v>
      </c>
      <c r="K454" s="5">
        <f t="shared" si="105"/>
        <v>2401.674590596936</v>
      </c>
      <c r="L454" s="5">
        <f t="shared" si="106"/>
        <v>0.70806045477372181</v>
      </c>
      <c r="M454" s="5">
        <f t="shared" si="109"/>
        <v>0</v>
      </c>
      <c r="N454" s="5">
        <f t="shared" si="110"/>
        <v>2957.8</v>
      </c>
    </row>
    <row r="455" spans="1:14" s="13" customFormat="1" ht="15.75" x14ac:dyDescent="0.25">
      <c r="A455" s="33" t="s">
        <v>773</v>
      </c>
      <c r="B455" s="34" t="s">
        <v>984</v>
      </c>
      <c r="C455" s="18" t="s">
        <v>299</v>
      </c>
      <c r="D455" s="32" t="s">
        <v>1605</v>
      </c>
      <c r="E455" s="5">
        <v>5.6959999999999997</v>
      </c>
      <c r="F455" s="5">
        <v>5.0999999999999997E-2</v>
      </c>
      <c r="G455" s="5">
        <f t="shared" si="107"/>
        <v>5.7469999999999999</v>
      </c>
      <c r="H455" s="5">
        <v>18586.026000000002</v>
      </c>
      <c r="I455" s="5"/>
      <c r="J455" s="5">
        <f t="shared" si="108"/>
        <v>18586.026000000002</v>
      </c>
      <c r="K455" s="5">
        <f t="shared" si="105"/>
        <v>3234.0396728728037</v>
      </c>
      <c r="L455" s="5">
        <f t="shared" si="106"/>
        <v>0.95345789579321094</v>
      </c>
      <c r="M455" s="5">
        <f t="shared" si="109"/>
        <v>0</v>
      </c>
      <c r="N455" s="5">
        <f t="shared" si="110"/>
        <v>0</v>
      </c>
    </row>
    <row r="456" spans="1:14" s="13" customFormat="1" ht="15.75" x14ac:dyDescent="0.25">
      <c r="A456" s="33" t="s">
        <v>773</v>
      </c>
      <c r="B456" s="34" t="s">
        <v>983</v>
      </c>
      <c r="C456" s="18" t="s">
        <v>363</v>
      </c>
      <c r="D456" s="32" t="s">
        <v>2967</v>
      </c>
      <c r="E456" s="5">
        <v>22.797000000000001</v>
      </c>
      <c r="F456" s="5">
        <v>3.13</v>
      </c>
      <c r="G456" s="5">
        <f t="shared" si="107"/>
        <v>25.927</v>
      </c>
      <c r="H456" s="5">
        <v>50994.078999999998</v>
      </c>
      <c r="I456" s="5"/>
      <c r="J456" s="5">
        <f t="shared" si="108"/>
        <v>50994.078999999998</v>
      </c>
      <c r="K456" s="5">
        <f t="shared" si="105"/>
        <v>1966.8329926331623</v>
      </c>
      <c r="L456" s="5">
        <f t="shared" si="106"/>
        <v>0.57986068082672992</v>
      </c>
      <c r="M456" s="5">
        <f t="shared" si="109"/>
        <v>0</v>
      </c>
      <c r="N456" s="5">
        <f t="shared" si="110"/>
        <v>22522.9</v>
      </c>
    </row>
    <row r="457" spans="1:14" s="13" customFormat="1" ht="31.5" x14ac:dyDescent="0.25">
      <c r="A457" s="33" t="s">
        <v>773</v>
      </c>
      <c r="B457" s="34" t="s">
        <v>985</v>
      </c>
      <c r="C457" s="18" t="s">
        <v>364</v>
      </c>
      <c r="D457" s="32" t="s">
        <v>1607</v>
      </c>
      <c r="E457" s="5">
        <v>12.513999999999999</v>
      </c>
      <c r="F457" s="5">
        <v>8.6999999999999994E-2</v>
      </c>
      <c r="G457" s="5">
        <f t="shared" si="107"/>
        <v>12.600999999999999</v>
      </c>
      <c r="H457" s="5">
        <v>14779.432000000001</v>
      </c>
      <c r="I457" s="5"/>
      <c r="J457" s="5">
        <f t="shared" si="108"/>
        <v>14779.432000000001</v>
      </c>
      <c r="K457" s="5">
        <f t="shared" si="105"/>
        <v>1172.8777081184035</v>
      </c>
      <c r="L457" s="5">
        <f t="shared" si="106"/>
        <v>0.34578719642358563</v>
      </c>
      <c r="M457" s="5">
        <f t="shared" si="109"/>
        <v>0</v>
      </c>
      <c r="N457" s="5">
        <f t="shared" si="110"/>
        <v>18950.3</v>
      </c>
    </row>
    <row r="458" spans="1:14" s="13" customFormat="1" ht="31.5" x14ac:dyDescent="0.25">
      <c r="A458" s="33" t="s">
        <v>773</v>
      </c>
      <c r="B458" s="34" t="s">
        <v>984</v>
      </c>
      <c r="C458" s="18" t="s">
        <v>365</v>
      </c>
      <c r="D458" s="32" t="s">
        <v>1608</v>
      </c>
      <c r="E458" s="5">
        <v>9.7750000000000004</v>
      </c>
      <c r="F458" s="5">
        <v>9.8000000000000004E-2</v>
      </c>
      <c r="G458" s="5">
        <f t="shared" si="107"/>
        <v>9.8730000000000011</v>
      </c>
      <c r="H458" s="5">
        <v>19338.760999999999</v>
      </c>
      <c r="I458" s="5"/>
      <c r="J458" s="5">
        <f t="shared" si="108"/>
        <v>19338.760999999999</v>
      </c>
      <c r="K458" s="5">
        <f t="shared" ref="K458:K482" si="111">J458/G458</f>
        <v>1958.7522536209863</v>
      </c>
      <c r="L458" s="5">
        <f t="shared" si="106"/>
        <v>0.57747832155030232</v>
      </c>
      <c r="M458" s="5">
        <f t="shared" si="109"/>
        <v>0</v>
      </c>
      <c r="N458" s="5">
        <f t="shared" si="110"/>
        <v>8640.6</v>
      </c>
    </row>
    <row r="459" spans="1:14" s="13" customFormat="1" ht="31.5" x14ac:dyDescent="0.25">
      <c r="A459" s="33" t="s">
        <v>773</v>
      </c>
      <c r="B459" s="34" t="s">
        <v>984</v>
      </c>
      <c r="C459" s="18" t="s">
        <v>366</v>
      </c>
      <c r="D459" s="32" t="s">
        <v>1609</v>
      </c>
      <c r="E459" s="5">
        <v>2.9969999999999999</v>
      </c>
      <c r="F459" s="5">
        <v>3.7999999999999999E-2</v>
      </c>
      <c r="G459" s="5">
        <f t="shared" si="107"/>
        <v>3.0349999999999997</v>
      </c>
      <c r="H459" s="5">
        <v>7865.8530000000001</v>
      </c>
      <c r="I459" s="5"/>
      <c r="J459" s="5">
        <f t="shared" si="108"/>
        <v>7865.8530000000001</v>
      </c>
      <c r="K459" s="5">
        <f t="shared" si="111"/>
        <v>2591.714332784185</v>
      </c>
      <c r="L459" s="5">
        <f t="shared" si="106"/>
        <v>0.76408787281154167</v>
      </c>
      <c r="M459" s="5">
        <f t="shared" si="109"/>
        <v>0</v>
      </c>
      <c r="N459" s="5">
        <f t="shared" si="110"/>
        <v>1119.3</v>
      </c>
    </row>
    <row r="460" spans="1:14" s="12" customFormat="1" ht="31.5" x14ac:dyDescent="0.25">
      <c r="A460" s="33" t="s">
        <v>773</v>
      </c>
      <c r="B460" s="34" t="s">
        <v>984</v>
      </c>
      <c r="C460" s="18" t="s">
        <v>367</v>
      </c>
      <c r="D460" s="32" t="s">
        <v>1610</v>
      </c>
      <c r="E460" s="5">
        <v>7.3650000000000002</v>
      </c>
      <c r="F460" s="5">
        <v>0.68700000000000006</v>
      </c>
      <c r="G460" s="5">
        <f t="shared" si="107"/>
        <v>8.0519999999999996</v>
      </c>
      <c r="H460" s="5">
        <v>16802.758000000002</v>
      </c>
      <c r="I460" s="5"/>
      <c r="J460" s="5">
        <f t="shared" si="108"/>
        <v>16802.758000000002</v>
      </c>
      <c r="K460" s="5">
        <f t="shared" si="111"/>
        <v>2086.7806756085447</v>
      </c>
      <c r="L460" s="5">
        <f t="shared" si="106"/>
        <v>0.61522359439092522</v>
      </c>
      <c r="M460" s="5">
        <f t="shared" si="109"/>
        <v>0</v>
      </c>
      <c r="N460" s="5">
        <f t="shared" si="110"/>
        <v>6222.2</v>
      </c>
    </row>
    <row r="461" spans="1:14" ht="15.75" x14ac:dyDescent="0.25">
      <c r="A461" s="33" t="s">
        <v>773</v>
      </c>
      <c r="B461" s="34" t="s">
        <v>984</v>
      </c>
      <c r="C461" s="18" t="s">
        <v>368</v>
      </c>
      <c r="D461" s="32" t="s">
        <v>1611</v>
      </c>
      <c r="E461" s="5">
        <v>4.1719999999999997</v>
      </c>
      <c r="F461" s="5">
        <v>2.9000000000000001E-2</v>
      </c>
      <c r="G461" s="5">
        <f t="shared" si="107"/>
        <v>4.2009999999999996</v>
      </c>
      <c r="H461" s="5">
        <v>7139.6229999999996</v>
      </c>
      <c r="I461" s="5"/>
      <c r="J461" s="5">
        <f t="shared" si="108"/>
        <v>7139.6229999999996</v>
      </c>
      <c r="K461" s="5">
        <f t="shared" si="111"/>
        <v>1699.5055939062129</v>
      </c>
      <c r="L461" s="5">
        <f t="shared" si="106"/>
        <v>0.50104735605027328</v>
      </c>
      <c r="M461" s="5">
        <f t="shared" si="109"/>
        <v>0</v>
      </c>
      <c r="N461" s="5">
        <f t="shared" si="110"/>
        <v>4547.8999999999996</v>
      </c>
    </row>
    <row r="462" spans="1:14" ht="31.5" x14ac:dyDescent="0.25">
      <c r="A462" s="33" t="s">
        <v>773</v>
      </c>
      <c r="B462" s="34" t="s">
        <v>983</v>
      </c>
      <c r="C462" s="18" t="s">
        <v>476</v>
      </c>
      <c r="D462" s="32" t="s">
        <v>1612</v>
      </c>
      <c r="E462" s="5">
        <v>19.966999999999999</v>
      </c>
      <c r="F462" s="5">
        <v>0.16300000000000001</v>
      </c>
      <c r="G462" s="5">
        <f t="shared" si="107"/>
        <v>20.13</v>
      </c>
      <c r="H462" s="5">
        <v>39078.15</v>
      </c>
      <c r="I462" s="5"/>
      <c r="J462" s="5">
        <f t="shared" si="108"/>
        <v>39078.15</v>
      </c>
      <c r="K462" s="5">
        <f t="shared" si="111"/>
        <v>1941.2891207153505</v>
      </c>
      <c r="L462" s="5">
        <f t="shared" si="106"/>
        <v>0.57232984978174972</v>
      </c>
      <c r="M462" s="5">
        <f t="shared" si="109"/>
        <v>0</v>
      </c>
      <c r="N462" s="5">
        <f t="shared" si="110"/>
        <v>17898.400000000001</v>
      </c>
    </row>
    <row r="463" spans="1:14" ht="15.75" x14ac:dyDescent="0.25">
      <c r="A463" s="33" t="s">
        <v>773</v>
      </c>
      <c r="B463" s="34" t="s">
        <v>983</v>
      </c>
      <c r="C463" s="18" t="s">
        <v>477</v>
      </c>
      <c r="D463" s="32" t="s">
        <v>1613</v>
      </c>
      <c r="E463" s="5">
        <v>18.492999999999999</v>
      </c>
      <c r="F463" s="5">
        <v>0.28899999999999998</v>
      </c>
      <c r="G463" s="5">
        <f t="shared" si="107"/>
        <v>18.782</v>
      </c>
      <c r="H463" s="5">
        <v>50731.667000000001</v>
      </c>
      <c r="I463" s="5"/>
      <c r="J463" s="5">
        <f t="shared" si="108"/>
        <v>50731.667000000001</v>
      </c>
      <c r="K463" s="5">
        <f t="shared" si="111"/>
        <v>2701.0790650622939</v>
      </c>
      <c r="L463" s="5">
        <f t="shared" si="106"/>
        <v>0.79633072635057889</v>
      </c>
      <c r="M463" s="5">
        <f t="shared" si="109"/>
        <v>0</v>
      </c>
      <c r="N463" s="5">
        <f t="shared" si="110"/>
        <v>5283.5</v>
      </c>
    </row>
    <row r="464" spans="1:14" ht="31.5" x14ac:dyDescent="0.25">
      <c r="A464" s="33" t="s">
        <v>773</v>
      </c>
      <c r="B464" s="34" t="s">
        <v>984</v>
      </c>
      <c r="C464" s="18" t="s">
        <v>478</v>
      </c>
      <c r="D464" s="32" t="s">
        <v>1614</v>
      </c>
      <c r="E464" s="5">
        <v>7.548</v>
      </c>
      <c r="F464" s="5">
        <v>2.3E-2</v>
      </c>
      <c r="G464" s="5">
        <f t="shared" si="107"/>
        <v>7.5709999999999997</v>
      </c>
      <c r="H464" s="5">
        <v>22532.907999999999</v>
      </c>
      <c r="I464" s="5"/>
      <c r="J464" s="5">
        <f t="shared" si="108"/>
        <v>22532.907999999999</v>
      </c>
      <c r="K464" s="5">
        <f t="shared" si="111"/>
        <v>2976.2129177123234</v>
      </c>
      <c r="L464" s="5">
        <f t="shared" si="106"/>
        <v>0.87744554581602763</v>
      </c>
      <c r="M464" s="5">
        <f t="shared" si="109"/>
        <v>0</v>
      </c>
      <c r="N464" s="5">
        <f t="shared" si="110"/>
        <v>463.4</v>
      </c>
    </row>
    <row r="465" spans="1:14" ht="31.5" x14ac:dyDescent="0.25">
      <c r="A465" s="33" t="s">
        <v>773</v>
      </c>
      <c r="B465" s="34" t="s">
        <v>985</v>
      </c>
      <c r="C465" s="18" t="s">
        <v>479</v>
      </c>
      <c r="D465" s="32" t="s">
        <v>1615</v>
      </c>
      <c r="E465" s="5">
        <v>15.847</v>
      </c>
      <c r="F465" s="5">
        <v>0.28799999999999998</v>
      </c>
      <c r="G465" s="5">
        <f t="shared" si="107"/>
        <v>16.134999999999998</v>
      </c>
      <c r="H465" s="5">
        <v>43366.353999999999</v>
      </c>
      <c r="I465" s="5"/>
      <c r="J465" s="5">
        <f t="shared" si="108"/>
        <v>43366.353999999999</v>
      </c>
      <c r="K465" s="5">
        <f t="shared" si="111"/>
        <v>2687.7194917880388</v>
      </c>
      <c r="L465" s="5">
        <f t="shared" si="106"/>
        <v>0.79239206390014227</v>
      </c>
      <c r="M465" s="5">
        <f t="shared" si="109"/>
        <v>0</v>
      </c>
      <c r="N465" s="5">
        <f t="shared" si="110"/>
        <v>4711.3999999999996</v>
      </c>
    </row>
    <row r="466" spans="1:14" ht="31.5" x14ac:dyDescent="0.25">
      <c r="A466" s="33" t="s">
        <v>773</v>
      </c>
      <c r="B466" s="34" t="s">
        <v>983</v>
      </c>
      <c r="C466" s="18" t="s">
        <v>480</v>
      </c>
      <c r="D466" s="32" t="s">
        <v>1616</v>
      </c>
      <c r="E466" s="5">
        <v>18.937000000000001</v>
      </c>
      <c r="F466" s="5">
        <v>0.80500000000000005</v>
      </c>
      <c r="G466" s="5">
        <f t="shared" si="107"/>
        <v>19.742000000000001</v>
      </c>
      <c r="H466" s="5">
        <v>53794.290999999997</v>
      </c>
      <c r="I466" s="5"/>
      <c r="J466" s="5">
        <f t="shared" si="108"/>
        <v>53794.290999999997</v>
      </c>
      <c r="K466" s="5">
        <f t="shared" si="111"/>
        <v>2724.8653125316582</v>
      </c>
      <c r="L466" s="5">
        <f t="shared" si="106"/>
        <v>0.80334337546901435</v>
      </c>
      <c r="M466" s="5">
        <f t="shared" si="109"/>
        <v>0</v>
      </c>
      <c r="N466" s="5">
        <f t="shared" si="110"/>
        <v>5177.8999999999996</v>
      </c>
    </row>
    <row r="467" spans="1:14" ht="15.75" x14ac:dyDescent="0.25">
      <c r="A467" s="33" t="s">
        <v>773</v>
      </c>
      <c r="B467" s="34" t="s">
        <v>984</v>
      </c>
      <c r="C467" s="18" t="s">
        <v>481</v>
      </c>
      <c r="D467" s="32" t="s">
        <v>1164</v>
      </c>
      <c r="E467" s="5">
        <v>4.6289999999999996</v>
      </c>
      <c r="F467" s="5">
        <v>4.1000000000000002E-2</v>
      </c>
      <c r="G467" s="5">
        <f t="shared" si="107"/>
        <v>4.67</v>
      </c>
      <c r="H467" s="5">
        <v>11502.023999999999</v>
      </c>
      <c r="I467" s="5"/>
      <c r="J467" s="5">
        <f t="shared" si="108"/>
        <v>11502.023999999999</v>
      </c>
      <c r="K467" s="5">
        <f t="shared" si="111"/>
        <v>2462.9601713062098</v>
      </c>
      <c r="L467" s="5">
        <f t="shared" si="106"/>
        <v>0.7261286378314834</v>
      </c>
      <c r="M467" s="5">
        <f t="shared" si="109"/>
        <v>0</v>
      </c>
      <c r="N467" s="5">
        <f t="shared" si="110"/>
        <v>2203.3000000000002</v>
      </c>
    </row>
    <row r="468" spans="1:14" ht="31.5" x14ac:dyDescent="0.25">
      <c r="A468" s="33" t="s">
        <v>773</v>
      </c>
      <c r="B468" s="34" t="s">
        <v>984</v>
      </c>
      <c r="C468" s="18" t="s">
        <v>482</v>
      </c>
      <c r="D468" s="32" t="s">
        <v>1618</v>
      </c>
      <c r="E468" s="5">
        <v>13.148999999999999</v>
      </c>
      <c r="F468" s="5">
        <v>0.15</v>
      </c>
      <c r="G468" s="5">
        <f t="shared" si="107"/>
        <v>13.298999999999999</v>
      </c>
      <c r="H468" s="5">
        <v>41198.934000000001</v>
      </c>
      <c r="I468" s="5"/>
      <c r="J468" s="5">
        <f t="shared" si="108"/>
        <v>41198.934000000001</v>
      </c>
      <c r="K468" s="5">
        <f t="shared" si="111"/>
        <v>3097.8971351229416</v>
      </c>
      <c r="L468" s="5">
        <f t="shared" si="106"/>
        <v>0.91332042356003196</v>
      </c>
      <c r="M468" s="5">
        <f t="shared" si="109"/>
        <v>0</v>
      </c>
      <c r="N468" s="5">
        <f t="shared" si="110"/>
        <v>0</v>
      </c>
    </row>
    <row r="469" spans="1:14" ht="15.75" x14ac:dyDescent="0.25">
      <c r="A469" s="33" t="s">
        <v>773</v>
      </c>
      <c r="B469" s="34" t="s">
        <v>984</v>
      </c>
      <c r="C469" s="18" t="s">
        <v>483</v>
      </c>
      <c r="D469" s="32" t="s">
        <v>1619</v>
      </c>
      <c r="E469" s="5">
        <v>11.722</v>
      </c>
      <c r="F469" s="5">
        <v>5.0999999999999997E-2</v>
      </c>
      <c r="G469" s="5">
        <f t="shared" si="107"/>
        <v>11.773</v>
      </c>
      <c r="H469" s="5">
        <v>13185.151</v>
      </c>
      <c r="I469" s="5"/>
      <c r="J469" s="5">
        <f t="shared" si="108"/>
        <v>13185.151</v>
      </c>
      <c r="K469" s="5">
        <f t="shared" si="111"/>
        <v>1119.9482714686146</v>
      </c>
      <c r="L469" s="5">
        <f t="shared" si="106"/>
        <v>0.33018256741518553</v>
      </c>
      <c r="M469" s="5">
        <f t="shared" si="109"/>
        <v>0</v>
      </c>
      <c r="N469" s="5">
        <f t="shared" si="110"/>
        <v>18203.599999999999</v>
      </c>
    </row>
    <row r="470" spans="1:14" ht="31.5" x14ac:dyDescent="0.25">
      <c r="A470" s="33" t="s">
        <v>773</v>
      </c>
      <c r="B470" s="34" t="s">
        <v>984</v>
      </c>
      <c r="C470" s="18" t="s">
        <v>551</v>
      </c>
      <c r="D470" s="32" t="s">
        <v>1620</v>
      </c>
      <c r="E470" s="5">
        <v>3.472</v>
      </c>
      <c r="F470" s="5">
        <v>2.5999999999999999E-2</v>
      </c>
      <c r="G470" s="5">
        <f t="shared" si="107"/>
        <v>3.4979999999999998</v>
      </c>
      <c r="H470" s="5">
        <v>5130.7520000000004</v>
      </c>
      <c r="I470" s="5"/>
      <c r="J470" s="5">
        <f t="shared" si="108"/>
        <v>5130.7520000000004</v>
      </c>
      <c r="K470" s="5">
        <f t="shared" si="111"/>
        <v>1466.7672955974845</v>
      </c>
      <c r="L470" s="5">
        <f t="shared" si="106"/>
        <v>0.43243157188495007</v>
      </c>
      <c r="M470" s="5">
        <f t="shared" si="109"/>
        <v>0</v>
      </c>
      <c r="N470" s="5">
        <f t="shared" si="110"/>
        <v>4438.1000000000004</v>
      </c>
    </row>
    <row r="471" spans="1:14" ht="31.5" x14ac:dyDescent="0.25">
      <c r="A471" s="33" t="s">
        <v>773</v>
      </c>
      <c r="B471" s="34" t="s">
        <v>984</v>
      </c>
      <c r="C471" s="18" t="s">
        <v>552</v>
      </c>
      <c r="D471" s="32" t="s">
        <v>1621</v>
      </c>
      <c r="E471" s="5">
        <v>3.1389999999999998</v>
      </c>
      <c r="F471" s="5">
        <v>0.01</v>
      </c>
      <c r="G471" s="5">
        <f t="shared" si="107"/>
        <v>3.1489999999999996</v>
      </c>
      <c r="H471" s="5">
        <v>6642.0690000000004</v>
      </c>
      <c r="I471" s="5"/>
      <c r="J471" s="5">
        <f t="shared" si="108"/>
        <v>6642.0690000000004</v>
      </c>
      <c r="K471" s="5">
        <f t="shared" si="111"/>
        <v>2109.262940616069</v>
      </c>
      <c r="L471" s="5">
        <f t="shared" si="106"/>
        <v>0.62185180407757323</v>
      </c>
      <c r="M471" s="5">
        <f t="shared" si="109"/>
        <v>0</v>
      </c>
      <c r="N471" s="5">
        <f t="shared" si="110"/>
        <v>2376.6999999999998</v>
      </c>
    </row>
    <row r="472" spans="1:14" ht="31.5" x14ac:dyDescent="0.25">
      <c r="A472" s="33" t="s">
        <v>773</v>
      </c>
      <c r="B472" s="34" t="s">
        <v>984</v>
      </c>
      <c r="C472" s="18" t="s">
        <v>553</v>
      </c>
      <c r="D472" s="32" t="s">
        <v>1622</v>
      </c>
      <c r="E472" s="5">
        <v>4.9080000000000004</v>
      </c>
      <c r="F472" s="5">
        <v>4.2000000000000003E-2</v>
      </c>
      <c r="G472" s="5">
        <f t="shared" si="107"/>
        <v>4.95</v>
      </c>
      <c r="H472" s="5">
        <v>11426.266</v>
      </c>
      <c r="I472" s="5"/>
      <c r="J472" s="5">
        <f t="shared" si="108"/>
        <v>11426.266</v>
      </c>
      <c r="K472" s="5">
        <f t="shared" si="111"/>
        <v>2308.3365656565657</v>
      </c>
      <c r="L472" s="5">
        <f t="shared" si="106"/>
        <v>0.6805425867637459</v>
      </c>
      <c r="M472" s="5">
        <f t="shared" si="109"/>
        <v>0</v>
      </c>
      <c r="N472" s="5">
        <f t="shared" si="110"/>
        <v>2947.7</v>
      </c>
    </row>
    <row r="473" spans="1:14" ht="31.5" x14ac:dyDescent="0.25">
      <c r="A473" s="33" t="s">
        <v>773</v>
      </c>
      <c r="B473" s="34" t="s">
        <v>984</v>
      </c>
      <c r="C473" s="18" t="s">
        <v>554</v>
      </c>
      <c r="D473" s="32" t="s">
        <v>2968</v>
      </c>
      <c r="E473" s="5">
        <v>2.7549999999999999</v>
      </c>
      <c r="F473" s="5">
        <v>4.3999999999999997E-2</v>
      </c>
      <c r="G473" s="5">
        <f t="shared" si="107"/>
        <v>2.7989999999999999</v>
      </c>
      <c r="H473" s="5">
        <v>12517.665999999999</v>
      </c>
      <c r="I473" s="5"/>
      <c r="J473" s="5">
        <f t="shared" si="108"/>
        <v>12517.665999999999</v>
      </c>
      <c r="K473" s="5">
        <f t="shared" si="111"/>
        <v>4472.1922115041089</v>
      </c>
      <c r="L473" s="5">
        <f t="shared" si="106"/>
        <v>1.3184893838286569</v>
      </c>
      <c r="M473" s="5">
        <f t="shared" si="109"/>
        <v>1037.2</v>
      </c>
      <c r="N473" s="5">
        <f t="shared" si="110"/>
        <v>0</v>
      </c>
    </row>
    <row r="474" spans="1:14" s="24" customFormat="1" ht="31.5" x14ac:dyDescent="0.25">
      <c r="A474" s="33" t="s">
        <v>773</v>
      </c>
      <c r="B474" s="34" t="s">
        <v>984</v>
      </c>
      <c r="C474" s="18" t="s">
        <v>555</v>
      </c>
      <c r="D474" s="32" t="s">
        <v>1624</v>
      </c>
      <c r="E474" s="5">
        <v>3.3690000000000002</v>
      </c>
      <c r="F474" s="5">
        <v>2.1999999999999999E-2</v>
      </c>
      <c r="G474" s="5">
        <f t="shared" si="107"/>
        <v>3.391</v>
      </c>
      <c r="H474" s="5">
        <v>7400.009</v>
      </c>
      <c r="I474" s="5"/>
      <c r="J474" s="5">
        <f t="shared" si="108"/>
        <v>7400.009</v>
      </c>
      <c r="K474" s="5">
        <f t="shared" si="111"/>
        <v>2182.2497788263049</v>
      </c>
      <c r="L474" s="5">
        <f t="shared" si="106"/>
        <v>0.64336974579123007</v>
      </c>
      <c r="M474" s="5">
        <f t="shared" si="109"/>
        <v>0</v>
      </c>
      <c r="N474" s="5">
        <f t="shared" si="110"/>
        <v>2361.4</v>
      </c>
    </row>
    <row r="475" spans="1:14" ht="31.5" x14ac:dyDescent="0.25">
      <c r="A475" s="33" t="s">
        <v>773</v>
      </c>
      <c r="B475" s="34" t="s">
        <v>985</v>
      </c>
      <c r="C475" s="18" t="s">
        <v>556</v>
      </c>
      <c r="D475" s="32" t="s">
        <v>2969</v>
      </c>
      <c r="E475" s="5">
        <v>12.134</v>
      </c>
      <c r="F475" s="5">
        <v>0.30199999999999999</v>
      </c>
      <c r="G475" s="5">
        <f t="shared" si="107"/>
        <v>12.436</v>
      </c>
      <c r="H475" s="5">
        <v>29899.355</v>
      </c>
      <c r="I475" s="5"/>
      <c r="J475" s="5">
        <f t="shared" si="108"/>
        <v>29899.355</v>
      </c>
      <c r="K475" s="5">
        <f t="shared" si="111"/>
        <v>2404.2582019942101</v>
      </c>
      <c r="L475" s="5">
        <f t="shared" si="106"/>
        <v>0.70882215374329705</v>
      </c>
      <c r="M475" s="5">
        <f t="shared" si="109"/>
        <v>0</v>
      </c>
      <c r="N475" s="5">
        <f t="shared" si="110"/>
        <v>6451.4</v>
      </c>
    </row>
    <row r="476" spans="1:14" ht="31.5" x14ac:dyDescent="0.25">
      <c r="A476" s="33" t="s">
        <v>773</v>
      </c>
      <c r="B476" s="34" t="s">
        <v>985</v>
      </c>
      <c r="C476" s="18" t="s">
        <v>557</v>
      </c>
      <c r="D476" s="32" t="s">
        <v>1626</v>
      </c>
      <c r="E476" s="5">
        <v>6.569</v>
      </c>
      <c r="F476" s="5">
        <v>0.17599999999999999</v>
      </c>
      <c r="G476" s="5">
        <f t="shared" si="107"/>
        <v>6.7450000000000001</v>
      </c>
      <c r="H476" s="5">
        <v>13476.102999999999</v>
      </c>
      <c r="I476" s="5"/>
      <c r="J476" s="5">
        <f t="shared" si="108"/>
        <v>13476.102999999999</v>
      </c>
      <c r="K476" s="5">
        <f t="shared" si="111"/>
        <v>1997.9396590066715</v>
      </c>
      <c r="L476" s="5">
        <f t="shared" si="106"/>
        <v>0.5890315320424423</v>
      </c>
      <c r="M476" s="5">
        <f t="shared" si="109"/>
        <v>0</v>
      </c>
      <c r="N476" s="5">
        <f t="shared" si="110"/>
        <v>5691.6</v>
      </c>
    </row>
    <row r="477" spans="1:14" ht="31.5" x14ac:dyDescent="0.25">
      <c r="A477" s="33" t="s">
        <v>773</v>
      </c>
      <c r="B477" s="34" t="s">
        <v>985</v>
      </c>
      <c r="C477" s="18" t="s">
        <v>558</v>
      </c>
      <c r="D477" s="32" t="s">
        <v>1627</v>
      </c>
      <c r="E477" s="5">
        <v>25.457999999999998</v>
      </c>
      <c r="F477" s="5">
        <v>0.214</v>
      </c>
      <c r="G477" s="5">
        <f t="shared" si="107"/>
        <v>25.671999999999997</v>
      </c>
      <c r="H477" s="5">
        <v>55906.811000000002</v>
      </c>
      <c r="I477" s="5"/>
      <c r="J477" s="5">
        <f t="shared" ref="J477:J495" si="112">H477+I477</f>
        <v>55906.811000000002</v>
      </c>
      <c r="K477" s="5">
        <f t="shared" si="111"/>
        <v>2177.7349252103463</v>
      </c>
      <c r="L477" s="5">
        <f t="shared" si="106"/>
        <v>0.64203867899430911</v>
      </c>
      <c r="M477" s="5">
        <f t="shared" si="109"/>
        <v>0</v>
      </c>
      <c r="N477" s="5">
        <f t="shared" si="110"/>
        <v>17970</v>
      </c>
    </row>
    <row r="478" spans="1:14" ht="31.5" x14ac:dyDescent="0.25">
      <c r="A478" s="33" t="s">
        <v>773</v>
      </c>
      <c r="B478" s="34" t="s">
        <v>984</v>
      </c>
      <c r="C478" s="18" t="s">
        <v>559</v>
      </c>
      <c r="D478" s="32" t="s">
        <v>1628</v>
      </c>
      <c r="E478" s="5">
        <v>4.9870000000000001</v>
      </c>
      <c r="F478" s="5">
        <v>0.08</v>
      </c>
      <c r="G478" s="5">
        <f t="shared" si="107"/>
        <v>5.0670000000000002</v>
      </c>
      <c r="H478" s="5">
        <v>8744.7710000000006</v>
      </c>
      <c r="I478" s="5"/>
      <c r="J478" s="5">
        <f t="shared" si="112"/>
        <v>8744.7710000000006</v>
      </c>
      <c r="K478" s="5">
        <f t="shared" si="111"/>
        <v>1725.8281034142492</v>
      </c>
      <c r="L478" s="5">
        <f t="shared" si="106"/>
        <v>0.50880774462498579</v>
      </c>
      <c r="M478" s="5">
        <f t="shared" si="109"/>
        <v>0</v>
      </c>
      <c r="N478" s="5">
        <f t="shared" si="110"/>
        <v>5378.7</v>
      </c>
    </row>
    <row r="479" spans="1:14" ht="31.5" x14ac:dyDescent="0.25">
      <c r="A479" s="33" t="s">
        <v>773</v>
      </c>
      <c r="B479" s="34" t="s">
        <v>984</v>
      </c>
      <c r="C479" s="18" t="s">
        <v>690</v>
      </c>
      <c r="D479" s="32" t="s">
        <v>1629</v>
      </c>
      <c r="E479" s="5">
        <v>6.1950000000000003</v>
      </c>
      <c r="F479" s="5">
        <v>4.7E-2</v>
      </c>
      <c r="G479" s="5">
        <f t="shared" si="107"/>
        <v>6.242</v>
      </c>
      <c r="H479" s="5">
        <v>9474.6389999999992</v>
      </c>
      <c r="I479" s="5"/>
      <c r="J479" s="5">
        <f t="shared" si="112"/>
        <v>9474.6389999999992</v>
      </c>
      <c r="K479" s="5">
        <f t="shared" si="111"/>
        <v>1517.8851329702018</v>
      </c>
      <c r="L479" s="5">
        <f t="shared" si="106"/>
        <v>0.44750210613587837</v>
      </c>
      <c r="M479" s="5">
        <f t="shared" si="109"/>
        <v>0</v>
      </c>
      <c r="N479" s="5">
        <f t="shared" si="110"/>
        <v>7664.3</v>
      </c>
    </row>
    <row r="480" spans="1:14" ht="31.5" x14ac:dyDescent="0.25">
      <c r="A480" s="34" t="s">
        <v>773</v>
      </c>
      <c r="B480" s="34" t="s">
        <v>985</v>
      </c>
      <c r="C480" s="30" t="s">
        <v>736</v>
      </c>
      <c r="D480" s="32" t="s">
        <v>1630</v>
      </c>
      <c r="E480" s="5">
        <v>19.28</v>
      </c>
      <c r="F480" s="5">
        <v>0.14699999999999999</v>
      </c>
      <c r="G480" s="5">
        <f t="shared" si="107"/>
        <v>19.427</v>
      </c>
      <c r="H480" s="5">
        <v>37631.468999999997</v>
      </c>
      <c r="I480" s="5"/>
      <c r="J480" s="5">
        <f t="shared" si="112"/>
        <v>37631.468999999997</v>
      </c>
      <c r="K480" s="5">
        <f t="shared" si="111"/>
        <v>1937.0705204097389</v>
      </c>
      <c r="L480" s="5">
        <f t="shared" ref="L480:L511" si="113">K480/$K$1659</f>
        <v>0.57108612423183769</v>
      </c>
      <c r="M480" s="5">
        <f t="shared" si="109"/>
        <v>0</v>
      </c>
      <c r="N480" s="5">
        <f t="shared" si="110"/>
        <v>17338.900000000001</v>
      </c>
    </row>
    <row r="481" spans="1:14" ht="31.5" x14ac:dyDescent="0.25">
      <c r="A481" s="34" t="s">
        <v>773</v>
      </c>
      <c r="B481" s="34" t="s">
        <v>984</v>
      </c>
      <c r="C481" s="30" t="s">
        <v>737</v>
      </c>
      <c r="D481" s="32" t="s">
        <v>1631</v>
      </c>
      <c r="E481" s="5">
        <v>6.4080000000000004</v>
      </c>
      <c r="F481" s="5">
        <v>6.9000000000000006E-2</v>
      </c>
      <c r="G481" s="5">
        <f t="shared" si="107"/>
        <v>6.4770000000000003</v>
      </c>
      <c r="H481" s="5">
        <v>14056.777</v>
      </c>
      <c r="I481" s="5"/>
      <c r="J481" s="5">
        <f t="shared" si="112"/>
        <v>14056.777</v>
      </c>
      <c r="K481" s="5">
        <f t="shared" si="111"/>
        <v>2170.2604600895475</v>
      </c>
      <c r="L481" s="5">
        <f t="shared" si="113"/>
        <v>0.63983506107148813</v>
      </c>
      <c r="M481" s="5">
        <f t="shared" ref="M481:M512" si="114">ROUND(IF(L481&lt;110%,0,(K481-$K$1659*1.1)*0.5)*G481,1)</f>
        <v>0</v>
      </c>
      <c r="N481" s="5">
        <f t="shared" ref="N481:N515" si="115">ROUND(IF(L481&gt;90%,0,(-K481+$K$1659*0.9)*0.8)*G481,1)</f>
        <v>4572.5</v>
      </c>
    </row>
    <row r="482" spans="1:14" ht="31.5" x14ac:dyDescent="0.25">
      <c r="A482" s="34" t="s">
        <v>773</v>
      </c>
      <c r="B482" s="34" t="s">
        <v>985</v>
      </c>
      <c r="C482" s="30" t="s">
        <v>831</v>
      </c>
      <c r="D482" s="32" t="s">
        <v>1368</v>
      </c>
      <c r="E482" s="5">
        <v>5.4779999999999998</v>
      </c>
      <c r="F482" s="5">
        <v>7.1999999999999995E-2</v>
      </c>
      <c r="G482" s="5">
        <f t="shared" si="107"/>
        <v>5.55</v>
      </c>
      <c r="H482" s="5">
        <v>10176.361999999999</v>
      </c>
      <c r="I482" s="5"/>
      <c r="J482" s="5">
        <f t="shared" si="112"/>
        <v>10176.361999999999</v>
      </c>
      <c r="K482" s="5">
        <f t="shared" si="111"/>
        <v>1833.5787387387386</v>
      </c>
      <c r="L482" s="5">
        <f t="shared" si="113"/>
        <v>0.54057473093891961</v>
      </c>
      <c r="M482" s="5">
        <f t="shared" si="114"/>
        <v>0</v>
      </c>
      <c r="N482" s="5">
        <f t="shared" si="115"/>
        <v>5413</v>
      </c>
    </row>
    <row r="483" spans="1:14" ht="31.5" x14ac:dyDescent="0.25">
      <c r="A483" s="34" t="s">
        <v>773</v>
      </c>
      <c r="B483" s="34" t="s">
        <v>984</v>
      </c>
      <c r="C483" s="30" t="s">
        <v>832</v>
      </c>
      <c r="D483" s="32" t="s">
        <v>2743</v>
      </c>
      <c r="E483" s="5">
        <v>6.125</v>
      </c>
      <c r="F483" s="5">
        <v>0.107</v>
      </c>
      <c r="G483" s="5">
        <f>F483+E483</f>
        <v>6.2320000000000002</v>
      </c>
      <c r="H483" s="5">
        <v>19685.205000000002</v>
      </c>
      <c r="I483" s="5"/>
      <c r="J483" s="5">
        <f>H483+I483</f>
        <v>19685.205000000002</v>
      </c>
      <c r="K483" s="5">
        <f>J483/G483</f>
        <v>3158.7299422336332</v>
      </c>
      <c r="L483" s="5">
        <f t="shared" si="113"/>
        <v>0.93125512014074263</v>
      </c>
      <c r="M483" s="5">
        <f t="shared" si="114"/>
        <v>0</v>
      </c>
      <c r="N483" s="5">
        <f t="shared" si="115"/>
        <v>0</v>
      </c>
    </row>
    <row r="484" spans="1:14" ht="31.5" x14ac:dyDescent="0.25">
      <c r="A484" s="34" t="s">
        <v>773</v>
      </c>
      <c r="B484" s="34" t="s">
        <v>984</v>
      </c>
      <c r="C484" s="30" t="s">
        <v>833</v>
      </c>
      <c r="D484" s="32" t="s">
        <v>1632</v>
      </c>
      <c r="E484" s="5">
        <v>6.5579999999999998</v>
      </c>
      <c r="F484" s="5">
        <v>5.8000000000000003E-2</v>
      </c>
      <c r="G484" s="5">
        <f t="shared" si="107"/>
        <v>6.6159999999999997</v>
      </c>
      <c r="H484" s="5">
        <v>13857.57</v>
      </c>
      <c r="I484" s="5"/>
      <c r="J484" s="5">
        <f t="shared" si="112"/>
        <v>13857.57</v>
      </c>
      <c r="K484" s="5">
        <f t="shared" ref="K484:K490" si="116">J484/G484</f>
        <v>2094.5541112454657</v>
      </c>
      <c r="L484" s="5">
        <f t="shared" si="113"/>
        <v>0.61751535464594975</v>
      </c>
      <c r="M484" s="5">
        <f t="shared" si="114"/>
        <v>0</v>
      </c>
      <c r="N484" s="5">
        <f t="shared" si="115"/>
        <v>5071.3999999999996</v>
      </c>
    </row>
    <row r="485" spans="1:14" ht="15.75" x14ac:dyDescent="0.25">
      <c r="A485" s="35" t="s">
        <v>773</v>
      </c>
      <c r="B485" s="34" t="s">
        <v>986</v>
      </c>
      <c r="C485" s="30" t="s">
        <v>979</v>
      </c>
      <c r="D485" s="32" t="s">
        <v>2970</v>
      </c>
      <c r="E485" s="5">
        <v>112.783</v>
      </c>
      <c r="F485" s="5">
        <v>9.9160000000000004</v>
      </c>
      <c r="G485" s="5">
        <f>F485+E485</f>
        <v>122.699</v>
      </c>
      <c r="H485" s="5">
        <v>280938.72600000002</v>
      </c>
      <c r="I485" s="5"/>
      <c r="J485" s="5">
        <f t="shared" si="112"/>
        <v>280938.72600000002</v>
      </c>
      <c r="K485" s="5">
        <f t="shared" si="116"/>
        <v>2289.6578293221628</v>
      </c>
      <c r="L485" s="5">
        <f t="shared" si="113"/>
        <v>0.67503573142401041</v>
      </c>
      <c r="M485" s="5">
        <f t="shared" si="114"/>
        <v>0</v>
      </c>
      <c r="N485" s="5">
        <f t="shared" si="115"/>
        <v>74901.100000000006</v>
      </c>
    </row>
    <row r="486" spans="1:14" ht="31.5" x14ac:dyDescent="0.25">
      <c r="A486" s="35" t="s">
        <v>773</v>
      </c>
      <c r="B486" s="34" t="s">
        <v>985</v>
      </c>
      <c r="C486" s="30" t="s">
        <v>980</v>
      </c>
      <c r="D486" s="32" t="s">
        <v>2971</v>
      </c>
      <c r="E486" s="5">
        <v>11.455</v>
      </c>
      <c r="F486" s="5">
        <v>2.2410000000000001</v>
      </c>
      <c r="G486" s="5">
        <f>F486+E486</f>
        <v>13.696</v>
      </c>
      <c r="H486" s="5">
        <v>35017.093000000001</v>
      </c>
      <c r="I486" s="5"/>
      <c r="J486" s="5">
        <f t="shared" si="112"/>
        <v>35017.093000000001</v>
      </c>
      <c r="K486" s="5">
        <f t="shared" si="116"/>
        <v>2556.7386828271028</v>
      </c>
      <c r="L486" s="5">
        <f t="shared" si="113"/>
        <v>0.75377636986623098</v>
      </c>
      <c r="M486" s="5">
        <f t="shared" si="114"/>
        <v>0</v>
      </c>
      <c r="N486" s="5">
        <f t="shared" si="115"/>
        <v>5434.3</v>
      </c>
    </row>
    <row r="487" spans="1:14" ht="31.5" x14ac:dyDescent="0.25">
      <c r="A487" s="35" t="s">
        <v>773</v>
      </c>
      <c r="B487" s="34" t="s">
        <v>984</v>
      </c>
      <c r="C487" s="30" t="s">
        <v>988</v>
      </c>
      <c r="D487" s="32" t="s">
        <v>2503</v>
      </c>
      <c r="E487" s="5">
        <v>4.8600000000000003</v>
      </c>
      <c r="F487" s="5">
        <v>2.9000000000000001E-2</v>
      </c>
      <c r="G487" s="5">
        <f>F487+E487</f>
        <v>4.8890000000000002</v>
      </c>
      <c r="H487" s="5">
        <v>5353.0320000000002</v>
      </c>
      <c r="I487" s="5"/>
      <c r="J487" s="5">
        <f t="shared" si="112"/>
        <v>5353.0320000000002</v>
      </c>
      <c r="K487" s="5">
        <f t="shared" si="116"/>
        <v>1094.9134792391083</v>
      </c>
      <c r="L487" s="5">
        <f t="shared" si="113"/>
        <v>0.32280182297936916</v>
      </c>
      <c r="M487" s="5">
        <f t="shared" si="114"/>
        <v>0</v>
      </c>
      <c r="N487" s="5">
        <f t="shared" si="115"/>
        <v>7657.4</v>
      </c>
    </row>
    <row r="488" spans="1:14" ht="15.75" x14ac:dyDescent="0.25">
      <c r="A488" s="35" t="s">
        <v>773</v>
      </c>
      <c r="B488" s="34" t="s">
        <v>983</v>
      </c>
      <c r="C488" s="30" t="s">
        <v>989</v>
      </c>
      <c r="D488" s="32" t="s">
        <v>2972</v>
      </c>
      <c r="E488" s="5">
        <v>29.472000000000001</v>
      </c>
      <c r="F488" s="5">
        <v>1.9430000000000001</v>
      </c>
      <c r="G488" s="5">
        <f>F488+E488</f>
        <v>31.415000000000003</v>
      </c>
      <c r="H488" s="5">
        <v>140162.685</v>
      </c>
      <c r="I488" s="5"/>
      <c r="J488" s="5">
        <f t="shared" si="112"/>
        <v>140162.685</v>
      </c>
      <c r="K488" s="5">
        <f t="shared" si="116"/>
        <v>4461.6484163616105</v>
      </c>
      <c r="L488" s="5">
        <f t="shared" si="113"/>
        <v>1.3153808676238106</v>
      </c>
      <c r="M488" s="5">
        <f t="shared" si="114"/>
        <v>11475.1</v>
      </c>
      <c r="N488" s="5">
        <f t="shared" si="115"/>
        <v>0</v>
      </c>
    </row>
    <row r="489" spans="1:14" ht="15.75" x14ac:dyDescent="0.25">
      <c r="A489" s="35" t="s">
        <v>773</v>
      </c>
      <c r="B489" s="34" t="s">
        <v>985</v>
      </c>
      <c r="C489" s="30" t="s">
        <v>990</v>
      </c>
      <c r="D489" s="32" t="s">
        <v>2973</v>
      </c>
      <c r="E489" s="5">
        <v>8.1069999999999993</v>
      </c>
      <c r="F489" s="5">
        <v>0.433</v>
      </c>
      <c r="G489" s="5">
        <f>F489+E489</f>
        <v>8.5399999999999991</v>
      </c>
      <c r="H489" s="5">
        <v>24266.776000000002</v>
      </c>
      <c r="I489" s="5"/>
      <c r="J489" s="5">
        <f t="shared" si="112"/>
        <v>24266.776000000002</v>
      </c>
      <c r="K489" s="5">
        <f t="shared" si="116"/>
        <v>2841.5428571428574</v>
      </c>
      <c r="L489" s="5">
        <f t="shared" si="113"/>
        <v>0.83774218854000282</v>
      </c>
      <c r="M489" s="5">
        <f t="shared" si="114"/>
        <v>0</v>
      </c>
      <c r="N489" s="5">
        <f t="shared" si="115"/>
        <v>1442.7</v>
      </c>
    </row>
    <row r="490" spans="1:14" ht="15.75" x14ac:dyDescent="0.25">
      <c r="A490" s="35" t="s">
        <v>773</v>
      </c>
      <c r="B490" s="34" t="s">
        <v>984</v>
      </c>
      <c r="C490" s="30" t="s">
        <v>1042</v>
      </c>
      <c r="D490" s="32" t="s">
        <v>2974</v>
      </c>
      <c r="E490" s="5">
        <v>3.2570000000000001</v>
      </c>
      <c r="F490" s="5">
        <v>0.187</v>
      </c>
      <c r="G490" s="5">
        <f t="shared" ref="G490:G499" si="117">F490+E490</f>
        <v>3.444</v>
      </c>
      <c r="H490" s="5">
        <v>6461.8779999999997</v>
      </c>
      <c r="I490" s="5"/>
      <c r="J490" s="5">
        <f t="shared" si="112"/>
        <v>6461.8779999999997</v>
      </c>
      <c r="K490" s="5">
        <f t="shared" si="116"/>
        <v>1876.2711962833914</v>
      </c>
      <c r="L490" s="5">
        <f t="shared" si="113"/>
        <v>0.55316129908717204</v>
      </c>
      <c r="M490" s="5">
        <f t="shared" si="114"/>
        <v>0</v>
      </c>
      <c r="N490" s="5">
        <f t="shared" si="115"/>
        <v>3241.3</v>
      </c>
    </row>
    <row r="491" spans="1:14" ht="31.5" x14ac:dyDescent="0.25">
      <c r="A491" s="35" t="s">
        <v>773</v>
      </c>
      <c r="B491" s="34" t="s">
        <v>984</v>
      </c>
      <c r="C491" s="30" t="s">
        <v>1043</v>
      </c>
      <c r="D491" s="32" t="s">
        <v>2975</v>
      </c>
      <c r="E491" s="5">
        <v>3.2050000000000001</v>
      </c>
      <c r="F491" s="5">
        <v>9.4E-2</v>
      </c>
      <c r="G491" s="5">
        <f t="shared" si="117"/>
        <v>3.2989999999999999</v>
      </c>
      <c r="H491" s="5">
        <v>11995.895</v>
      </c>
      <c r="I491" s="5"/>
      <c r="J491" s="5">
        <f t="shared" si="112"/>
        <v>11995.895</v>
      </c>
      <c r="K491" s="5">
        <f t="shared" ref="K491:K516" si="118">J491/G491</f>
        <v>3636.2215822976664</v>
      </c>
      <c r="L491" s="5">
        <f t="shared" si="113"/>
        <v>1.0720289573367121</v>
      </c>
      <c r="M491" s="5">
        <f t="shared" si="114"/>
        <v>0</v>
      </c>
      <c r="N491" s="5">
        <f t="shared" si="115"/>
        <v>0</v>
      </c>
    </row>
    <row r="492" spans="1:14" ht="15.75" x14ac:dyDescent="0.25">
      <c r="A492" s="35" t="s">
        <v>773</v>
      </c>
      <c r="B492" s="34" t="s">
        <v>984</v>
      </c>
      <c r="C492" s="30" t="s">
        <v>1044</v>
      </c>
      <c r="D492" s="32" t="s">
        <v>2976</v>
      </c>
      <c r="E492" s="5">
        <v>5.0460000000000003</v>
      </c>
      <c r="F492" s="5">
        <v>6.8000000000000005E-2</v>
      </c>
      <c r="G492" s="5">
        <f t="shared" si="117"/>
        <v>5.1139999999999999</v>
      </c>
      <c r="H492" s="5">
        <v>8804.1630000000005</v>
      </c>
      <c r="I492" s="5"/>
      <c r="J492" s="5">
        <f t="shared" si="112"/>
        <v>8804.1630000000005</v>
      </c>
      <c r="K492" s="5">
        <f t="shared" si="118"/>
        <v>1721.5805631599533</v>
      </c>
      <c r="L492" s="5">
        <f t="shared" si="113"/>
        <v>0.50755548701444131</v>
      </c>
      <c r="M492" s="5">
        <f t="shared" si="114"/>
        <v>0</v>
      </c>
      <c r="N492" s="5">
        <f t="shared" si="115"/>
        <v>5445.9</v>
      </c>
    </row>
    <row r="493" spans="1:14" ht="31.5" x14ac:dyDescent="0.25">
      <c r="A493" s="35" t="s">
        <v>773</v>
      </c>
      <c r="B493" s="34" t="s">
        <v>984</v>
      </c>
      <c r="C493" s="30" t="s">
        <v>1045</v>
      </c>
      <c r="D493" s="32" t="s">
        <v>1430</v>
      </c>
      <c r="E493" s="5">
        <v>9.3550000000000004</v>
      </c>
      <c r="F493" s="5">
        <v>8.4000000000000005E-2</v>
      </c>
      <c r="G493" s="5">
        <f t="shared" si="117"/>
        <v>9.4390000000000001</v>
      </c>
      <c r="H493" s="5">
        <v>36195.637999999999</v>
      </c>
      <c r="I493" s="5"/>
      <c r="J493" s="5">
        <f t="shared" si="112"/>
        <v>36195.637999999999</v>
      </c>
      <c r="K493" s="5">
        <f t="shared" si="118"/>
        <v>3834.6899035914821</v>
      </c>
      <c r="L493" s="5">
        <f t="shared" si="113"/>
        <v>1.1305412846868332</v>
      </c>
      <c r="M493" s="5">
        <f t="shared" si="114"/>
        <v>488.9</v>
      </c>
      <c r="N493" s="5">
        <f t="shared" si="115"/>
        <v>0</v>
      </c>
    </row>
    <row r="494" spans="1:14" ht="31.5" x14ac:dyDescent="0.25">
      <c r="A494" s="35" t="s">
        <v>773</v>
      </c>
      <c r="B494" s="34" t="s">
        <v>985</v>
      </c>
      <c r="C494" s="30" t="s">
        <v>2744</v>
      </c>
      <c r="D494" s="32" t="s">
        <v>2977</v>
      </c>
      <c r="E494" s="5">
        <v>3.573</v>
      </c>
      <c r="F494" s="5">
        <v>0.03</v>
      </c>
      <c r="G494" s="5">
        <f t="shared" si="117"/>
        <v>3.6029999999999998</v>
      </c>
      <c r="H494" s="5">
        <v>10830.08</v>
      </c>
      <c r="I494" s="5"/>
      <c r="J494" s="5">
        <f t="shared" si="112"/>
        <v>10830.08</v>
      </c>
      <c r="K494" s="5">
        <f t="shared" si="118"/>
        <v>3005.8506799888983</v>
      </c>
      <c r="L494" s="5">
        <f t="shared" si="113"/>
        <v>0.88618333548919537</v>
      </c>
      <c r="M494" s="5">
        <f t="shared" si="114"/>
        <v>0</v>
      </c>
      <c r="N494" s="5">
        <f t="shared" si="115"/>
        <v>135.1</v>
      </c>
    </row>
    <row r="495" spans="1:14" ht="31.5" x14ac:dyDescent="0.25">
      <c r="A495" s="35" t="s">
        <v>773</v>
      </c>
      <c r="B495" s="34" t="s">
        <v>984</v>
      </c>
      <c r="C495" s="30" t="s">
        <v>1046</v>
      </c>
      <c r="D495" s="32" t="s">
        <v>2978</v>
      </c>
      <c r="E495" s="5">
        <v>3.2850000000000001</v>
      </c>
      <c r="F495" s="5">
        <v>0.13500000000000001</v>
      </c>
      <c r="G495" s="5">
        <f t="shared" si="117"/>
        <v>3.42</v>
      </c>
      <c r="H495" s="5">
        <v>9439.5849999999991</v>
      </c>
      <c r="I495" s="5"/>
      <c r="J495" s="5">
        <f t="shared" si="112"/>
        <v>9439.5849999999991</v>
      </c>
      <c r="K495" s="5">
        <f t="shared" si="118"/>
        <v>2760.1125730994149</v>
      </c>
      <c r="L495" s="5">
        <f t="shared" si="113"/>
        <v>0.81373495451342204</v>
      </c>
      <c r="M495" s="5">
        <f t="shared" si="114"/>
        <v>0</v>
      </c>
      <c r="N495" s="5">
        <f t="shared" si="115"/>
        <v>800.6</v>
      </c>
    </row>
    <row r="496" spans="1:14" ht="31.5" x14ac:dyDescent="0.25">
      <c r="A496" s="35" t="s">
        <v>773</v>
      </c>
      <c r="B496" s="34" t="s">
        <v>985</v>
      </c>
      <c r="C496" s="30" t="s">
        <v>1644</v>
      </c>
      <c r="D496" s="80" t="s">
        <v>1645</v>
      </c>
      <c r="E496" s="5">
        <v>7.0010000000000003</v>
      </c>
      <c r="F496" s="5">
        <v>0.26700000000000002</v>
      </c>
      <c r="G496" s="5">
        <f t="shared" si="117"/>
        <v>7.2680000000000007</v>
      </c>
      <c r="H496" s="5">
        <v>16331.59</v>
      </c>
      <c r="I496" s="5"/>
      <c r="J496" s="5">
        <f t="shared" ref="J496:J515" si="119">H496+I496</f>
        <v>16331.59</v>
      </c>
      <c r="K496" s="5">
        <f t="shared" si="118"/>
        <v>2247.0542102366535</v>
      </c>
      <c r="L496" s="5">
        <f t="shared" si="113"/>
        <v>0.66247535458411788</v>
      </c>
      <c r="M496" s="5">
        <f t="shared" si="114"/>
        <v>0</v>
      </c>
      <c r="N496" s="5">
        <f t="shared" si="115"/>
        <v>4684.3999999999996</v>
      </c>
    </row>
    <row r="497" spans="1:14" ht="15.75" x14ac:dyDescent="0.25">
      <c r="A497" s="35" t="s">
        <v>773</v>
      </c>
      <c r="B497" s="34" t="s">
        <v>983</v>
      </c>
      <c r="C497" s="30" t="s">
        <v>1646</v>
      </c>
      <c r="D497" s="80" t="s">
        <v>1647</v>
      </c>
      <c r="E497" s="5">
        <v>20.922000000000001</v>
      </c>
      <c r="F497" s="5">
        <v>0.33900000000000002</v>
      </c>
      <c r="G497" s="5">
        <f t="shared" si="117"/>
        <v>21.260999999999999</v>
      </c>
      <c r="H497" s="5">
        <v>61933.542999999998</v>
      </c>
      <c r="I497" s="5"/>
      <c r="J497" s="5">
        <f t="shared" si="119"/>
        <v>61933.542999999998</v>
      </c>
      <c r="K497" s="5">
        <f t="shared" si="118"/>
        <v>2913.0117586190677</v>
      </c>
      <c r="L497" s="5">
        <f t="shared" si="113"/>
        <v>0.8588126129345276</v>
      </c>
      <c r="M497" s="5">
        <f t="shared" si="114"/>
        <v>0</v>
      </c>
      <c r="N497" s="5">
        <f t="shared" si="115"/>
        <v>2376.1999999999998</v>
      </c>
    </row>
    <row r="498" spans="1:14" ht="15.75" x14ac:dyDescent="0.25">
      <c r="A498" s="35" t="s">
        <v>773</v>
      </c>
      <c r="B498" s="34" t="s">
        <v>983</v>
      </c>
      <c r="C498" s="30" t="s">
        <v>1648</v>
      </c>
      <c r="D498" s="80" t="s">
        <v>1649</v>
      </c>
      <c r="E498" s="5">
        <v>16.821999999999999</v>
      </c>
      <c r="F498" s="5">
        <v>0.67500000000000004</v>
      </c>
      <c r="G498" s="5">
        <f>F498+E498</f>
        <v>17.497</v>
      </c>
      <c r="H498" s="5">
        <v>58665.474999999999</v>
      </c>
      <c r="I498" s="5">
        <f>(-44.5-15.9)*0.6</f>
        <v>-36.239999999999995</v>
      </c>
      <c r="J498" s="5">
        <f t="shared" si="119"/>
        <v>58629.235000000001</v>
      </c>
      <c r="K498" s="5">
        <f t="shared" si="118"/>
        <v>3350.8164256729724</v>
      </c>
      <c r="L498" s="5">
        <f t="shared" si="113"/>
        <v>0.98788595737091811</v>
      </c>
      <c r="M498" s="5">
        <f t="shared" si="114"/>
        <v>0</v>
      </c>
      <c r="N498" s="5">
        <f t="shared" si="115"/>
        <v>0</v>
      </c>
    </row>
    <row r="499" spans="1:14" ht="31.5" x14ac:dyDescent="0.25">
      <c r="A499" s="35" t="s">
        <v>773</v>
      </c>
      <c r="B499" s="34" t="s">
        <v>983</v>
      </c>
      <c r="C499" s="30" t="s">
        <v>1650</v>
      </c>
      <c r="D499" s="80" t="s">
        <v>1651</v>
      </c>
      <c r="E499" s="5">
        <v>18.468</v>
      </c>
      <c r="F499" s="5">
        <v>0.39100000000000001</v>
      </c>
      <c r="G499" s="5">
        <f t="shared" si="117"/>
        <v>18.859000000000002</v>
      </c>
      <c r="H499" s="5">
        <v>130020.80099999999</v>
      </c>
      <c r="I499" s="5">
        <f>(-152702.2)*0.6</f>
        <v>-91621.32</v>
      </c>
      <c r="J499" s="5">
        <f t="shared" si="119"/>
        <v>38399.480999999985</v>
      </c>
      <c r="K499" s="5">
        <f t="shared" si="118"/>
        <v>2036.1355851317664</v>
      </c>
      <c r="L499" s="5">
        <f t="shared" si="113"/>
        <v>0.6002924351341955</v>
      </c>
      <c r="M499" s="5">
        <f t="shared" si="114"/>
        <v>0</v>
      </c>
      <c r="N499" s="5">
        <f t="shared" si="115"/>
        <v>15337.3</v>
      </c>
    </row>
    <row r="500" spans="1:14" ht="31.5" x14ac:dyDescent="0.25">
      <c r="A500" s="35" t="s">
        <v>773</v>
      </c>
      <c r="B500" s="34" t="s">
        <v>986</v>
      </c>
      <c r="C500" s="30" t="s">
        <v>1652</v>
      </c>
      <c r="D500" s="80" t="s">
        <v>1653</v>
      </c>
      <c r="E500" s="5">
        <v>52.887</v>
      </c>
      <c r="F500" s="5">
        <v>0.871</v>
      </c>
      <c r="G500" s="5">
        <f t="shared" ref="G500:G515" si="120">F500+E500</f>
        <v>53.758000000000003</v>
      </c>
      <c r="H500" s="5">
        <v>649320.30900000001</v>
      </c>
      <c r="I500" s="5">
        <f>(-12.686)*0.6</f>
        <v>-7.6115999999999993</v>
      </c>
      <c r="J500" s="5">
        <f t="shared" si="119"/>
        <v>649312.69740000006</v>
      </c>
      <c r="K500" s="5">
        <f t="shared" si="118"/>
        <v>12078.438509617174</v>
      </c>
      <c r="L500" s="5">
        <f t="shared" si="113"/>
        <v>3.5609589648655553</v>
      </c>
      <c r="M500" s="5">
        <f t="shared" si="114"/>
        <v>224368.2</v>
      </c>
      <c r="N500" s="5">
        <f t="shared" si="115"/>
        <v>0</v>
      </c>
    </row>
    <row r="501" spans="1:14" s="75" customFormat="1" ht="15.75" customHeight="1" x14ac:dyDescent="0.25">
      <c r="A501" s="35" t="s">
        <v>773</v>
      </c>
      <c r="B501" s="34" t="s">
        <v>986</v>
      </c>
      <c r="C501" s="30" t="s">
        <v>1654</v>
      </c>
      <c r="D501" s="80" t="s">
        <v>1655</v>
      </c>
      <c r="E501" s="5">
        <v>722.71299999999997</v>
      </c>
      <c r="F501" s="5">
        <v>23.65</v>
      </c>
      <c r="G501" s="5">
        <f t="shared" si="120"/>
        <v>746.36299999999994</v>
      </c>
      <c r="H501" s="5">
        <v>3772606.7779999999</v>
      </c>
      <c r="I501" s="5">
        <f>(1122.6+254.8+346.4+704.3-44.637-62.39791-73.05461-79.77855-48.91654-78.50975-825.51359-168.42766-116.07476-275.16572-100.37203-289.58149-847.6267-85.35999-263.99091-133.39935-871.70115-126.82378-86.11944-117.45739-31.73601+96.7+165.3+192.2+129.4+241.137-26.476-24.984-34.173-49.572-30.646)*0.6</f>
        <v>-983.79499800000076</v>
      </c>
      <c r="J501" s="5">
        <f t="shared" si="119"/>
        <v>3771622.983002</v>
      </c>
      <c r="K501" s="5">
        <f t="shared" si="118"/>
        <v>5053.3359544913137</v>
      </c>
      <c r="L501" s="5">
        <f t="shared" si="113"/>
        <v>1.489821880145799</v>
      </c>
      <c r="M501" s="5">
        <f t="shared" si="114"/>
        <v>493435.2</v>
      </c>
      <c r="N501" s="5">
        <f t="shared" si="115"/>
        <v>0</v>
      </c>
    </row>
    <row r="502" spans="1:14" ht="31.5" x14ac:dyDescent="0.25">
      <c r="A502" s="35" t="s">
        <v>773</v>
      </c>
      <c r="B502" s="34" t="s">
        <v>984</v>
      </c>
      <c r="C502" s="30" t="s">
        <v>1656</v>
      </c>
      <c r="D502" s="80" t="s">
        <v>1657</v>
      </c>
      <c r="E502" s="5">
        <v>5.6</v>
      </c>
      <c r="F502" s="5">
        <v>9.8000000000000004E-2</v>
      </c>
      <c r="G502" s="5">
        <f t="shared" si="120"/>
        <v>5.6979999999999995</v>
      </c>
      <c r="H502" s="5">
        <v>12174.209000000001</v>
      </c>
      <c r="I502" s="5"/>
      <c r="J502" s="5">
        <f t="shared" si="119"/>
        <v>12174.209000000001</v>
      </c>
      <c r="K502" s="5">
        <f t="shared" si="118"/>
        <v>2136.5758160758164</v>
      </c>
      <c r="L502" s="5">
        <f t="shared" si="113"/>
        <v>0.62990417182752723</v>
      </c>
      <c r="M502" s="5">
        <f t="shared" si="114"/>
        <v>0</v>
      </c>
      <c r="N502" s="5">
        <f t="shared" si="115"/>
        <v>4176.1000000000004</v>
      </c>
    </row>
    <row r="503" spans="1:14" ht="31.5" x14ac:dyDescent="0.25">
      <c r="A503" s="35" t="s">
        <v>773</v>
      </c>
      <c r="B503" s="34" t="s">
        <v>984</v>
      </c>
      <c r="C503" s="30" t="s">
        <v>1658</v>
      </c>
      <c r="D503" s="80" t="s">
        <v>1659</v>
      </c>
      <c r="E503" s="5">
        <v>14.430999999999999</v>
      </c>
      <c r="F503" s="5">
        <v>0.18</v>
      </c>
      <c r="G503" s="5">
        <f t="shared" si="120"/>
        <v>14.610999999999999</v>
      </c>
      <c r="H503" s="5">
        <v>13219.34</v>
      </c>
      <c r="I503" s="5"/>
      <c r="J503" s="5">
        <f t="shared" si="119"/>
        <v>13219.34</v>
      </c>
      <c r="K503" s="5">
        <f t="shared" si="118"/>
        <v>904.75258366983792</v>
      </c>
      <c r="L503" s="5">
        <f t="shared" si="113"/>
        <v>0.2667386865644189</v>
      </c>
      <c r="M503" s="5">
        <f t="shared" si="114"/>
        <v>0</v>
      </c>
      <c r="N503" s="5">
        <f t="shared" si="115"/>
        <v>25107.1</v>
      </c>
    </row>
    <row r="504" spans="1:14" ht="31.5" x14ac:dyDescent="0.25">
      <c r="A504" s="35" t="s">
        <v>773</v>
      </c>
      <c r="B504" s="34" t="s">
        <v>985</v>
      </c>
      <c r="C504" s="30" t="s">
        <v>1660</v>
      </c>
      <c r="D504" s="80" t="s">
        <v>1661</v>
      </c>
      <c r="E504" s="5">
        <v>17.12</v>
      </c>
      <c r="F504" s="5">
        <v>0.16500000000000001</v>
      </c>
      <c r="G504" s="5">
        <f t="shared" si="120"/>
        <v>17.285</v>
      </c>
      <c r="H504" s="5">
        <v>15529.878000000001</v>
      </c>
      <c r="I504" s="5"/>
      <c r="J504" s="5">
        <f t="shared" si="119"/>
        <v>15529.878000000001</v>
      </c>
      <c r="K504" s="5">
        <f t="shared" si="118"/>
        <v>898.45982065374608</v>
      </c>
      <c r="L504" s="5">
        <f t="shared" si="113"/>
        <v>0.26488345744203823</v>
      </c>
      <c r="M504" s="5">
        <f t="shared" si="114"/>
        <v>0</v>
      </c>
      <c r="N504" s="5">
        <f t="shared" si="115"/>
        <v>29789</v>
      </c>
    </row>
    <row r="505" spans="1:14" ht="31.5" x14ac:dyDescent="0.25">
      <c r="A505" s="35" t="s">
        <v>773</v>
      </c>
      <c r="B505" s="34" t="s">
        <v>984</v>
      </c>
      <c r="C505" s="30" t="s">
        <v>1662</v>
      </c>
      <c r="D505" s="80" t="s">
        <v>1663</v>
      </c>
      <c r="E505" s="5">
        <v>12.426</v>
      </c>
      <c r="F505" s="5">
        <v>8.1000000000000003E-2</v>
      </c>
      <c r="G505" s="5">
        <f t="shared" si="120"/>
        <v>12.507</v>
      </c>
      <c r="H505" s="5">
        <v>65099.572</v>
      </c>
      <c r="I505" s="5">
        <f>(152702.2)*0.6</f>
        <v>91621.32</v>
      </c>
      <c r="J505" s="5">
        <f t="shared" si="119"/>
        <v>156720.89199999999</v>
      </c>
      <c r="K505" s="5">
        <f t="shared" si="118"/>
        <v>12530.654193651555</v>
      </c>
      <c r="L505" s="5">
        <f t="shared" si="113"/>
        <v>3.6942809578394695</v>
      </c>
      <c r="M505" s="5">
        <f t="shared" si="114"/>
        <v>55028</v>
      </c>
      <c r="N505" s="5">
        <f t="shared" si="115"/>
        <v>0</v>
      </c>
    </row>
    <row r="506" spans="1:14" ht="31.5" x14ac:dyDescent="0.25">
      <c r="A506" s="35" t="s">
        <v>773</v>
      </c>
      <c r="B506" s="34" t="s">
        <v>984</v>
      </c>
      <c r="C506" s="30" t="s">
        <v>1664</v>
      </c>
      <c r="D506" s="80" t="s">
        <v>1665</v>
      </c>
      <c r="E506" s="5">
        <v>6.8719999999999999</v>
      </c>
      <c r="F506" s="5">
        <v>4.7E-2</v>
      </c>
      <c r="G506" s="5">
        <f t="shared" si="120"/>
        <v>6.9189999999999996</v>
      </c>
      <c r="H506" s="5">
        <v>18417.240000000002</v>
      </c>
      <c r="I506" s="5"/>
      <c r="J506" s="5">
        <f t="shared" si="119"/>
        <v>18417.240000000002</v>
      </c>
      <c r="K506" s="5">
        <f t="shared" si="118"/>
        <v>2661.8355253649374</v>
      </c>
      <c r="L506" s="5">
        <f t="shared" si="113"/>
        <v>0.78476096636984216</v>
      </c>
      <c r="M506" s="5">
        <f t="shared" si="114"/>
        <v>0</v>
      </c>
      <c r="N506" s="5">
        <f t="shared" si="115"/>
        <v>2163.6</v>
      </c>
    </row>
    <row r="507" spans="1:14" ht="31.5" x14ac:dyDescent="0.25">
      <c r="A507" s="35" t="s">
        <v>773</v>
      </c>
      <c r="B507" s="34" t="s">
        <v>986</v>
      </c>
      <c r="C507" s="30" t="s">
        <v>1666</v>
      </c>
      <c r="D507" s="80" t="s">
        <v>1667</v>
      </c>
      <c r="E507" s="5">
        <v>150.768</v>
      </c>
      <c r="F507" s="5">
        <v>2.7530000000000001</v>
      </c>
      <c r="G507" s="5">
        <f t="shared" si="120"/>
        <v>153.52100000000002</v>
      </c>
      <c r="H507" s="5">
        <v>396235.12400000001</v>
      </c>
      <c r="I507" s="5"/>
      <c r="J507" s="5">
        <f t="shared" si="119"/>
        <v>396235.12400000001</v>
      </c>
      <c r="K507" s="5">
        <f t="shared" si="118"/>
        <v>2580.9832140228373</v>
      </c>
      <c r="L507" s="5">
        <f t="shared" si="113"/>
        <v>0.76092412995472858</v>
      </c>
      <c r="M507" s="5">
        <f t="shared" si="114"/>
        <v>0</v>
      </c>
      <c r="N507" s="5">
        <f t="shared" si="115"/>
        <v>57936.7</v>
      </c>
    </row>
    <row r="508" spans="1:14" ht="31.5" x14ac:dyDescent="0.25">
      <c r="A508" s="35" t="s">
        <v>773</v>
      </c>
      <c r="B508" s="34" t="s">
        <v>984</v>
      </c>
      <c r="C508" s="30" t="s">
        <v>1668</v>
      </c>
      <c r="D508" s="80" t="s">
        <v>1669</v>
      </c>
      <c r="E508" s="5">
        <v>5.4470000000000001</v>
      </c>
      <c r="F508" s="5">
        <v>3.2000000000000001E-2</v>
      </c>
      <c r="G508" s="5">
        <f t="shared" si="120"/>
        <v>5.4790000000000001</v>
      </c>
      <c r="H508" s="5">
        <v>11553.14</v>
      </c>
      <c r="I508" s="5"/>
      <c r="J508" s="5">
        <f t="shared" si="119"/>
        <v>11553.14</v>
      </c>
      <c r="K508" s="5">
        <f t="shared" si="118"/>
        <v>2108.6220113159334</v>
      </c>
      <c r="L508" s="5">
        <f t="shared" si="113"/>
        <v>0.62166284563436502</v>
      </c>
      <c r="M508" s="5">
        <f t="shared" si="114"/>
        <v>0</v>
      </c>
      <c r="N508" s="5">
        <f t="shared" si="115"/>
        <v>4138.2</v>
      </c>
    </row>
    <row r="509" spans="1:14" ht="31.5" x14ac:dyDescent="0.25">
      <c r="A509" s="35" t="s">
        <v>773</v>
      </c>
      <c r="B509" s="34" t="s">
        <v>983</v>
      </c>
      <c r="C509" s="30" t="s">
        <v>1670</v>
      </c>
      <c r="D509" s="80" t="s">
        <v>1671</v>
      </c>
      <c r="E509" s="5">
        <v>11.79</v>
      </c>
      <c r="F509" s="5">
        <v>9.0999999999999998E-2</v>
      </c>
      <c r="G509" s="5">
        <f t="shared" si="120"/>
        <v>11.880999999999998</v>
      </c>
      <c r="H509" s="5">
        <v>30472.957999999999</v>
      </c>
      <c r="I509" s="5"/>
      <c r="J509" s="5">
        <f t="shared" si="119"/>
        <v>30472.957999999999</v>
      </c>
      <c r="K509" s="5">
        <f t="shared" si="118"/>
        <v>2564.8479084252172</v>
      </c>
      <c r="L509" s="5">
        <f t="shared" si="113"/>
        <v>0.75616712754312199</v>
      </c>
      <c r="M509" s="5">
        <f t="shared" si="114"/>
        <v>0</v>
      </c>
      <c r="N509" s="5">
        <f t="shared" si="115"/>
        <v>4637.1000000000004</v>
      </c>
    </row>
    <row r="510" spans="1:14" ht="31.5" x14ac:dyDescent="0.25">
      <c r="A510" s="35" t="s">
        <v>773</v>
      </c>
      <c r="B510" s="34" t="s">
        <v>985</v>
      </c>
      <c r="C510" s="30" t="s">
        <v>1672</v>
      </c>
      <c r="D510" s="80" t="s">
        <v>1673</v>
      </c>
      <c r="E510" s="5">
        <v>7.5960000000000001</v>
      </c>
      <c r="F510" s="5">
        <v>8.5000000000000006E-2</v>
      </c>
      <c r="G510" s="5">
        <f t="shared" si="120"/>
        <v>7.681</v>
      </c>
      <c r="H510" s="5">
        <v>11721.536</v>
      </c>
      <c r="I510" s="5"/>
      <c r="J510" s="5">
        <f t="shared" si="119"/>
        <v>11721.536</v>
      </c>
      <c r="K510" s="5">
        <f t="shared" si="118"/>
        <v>1526.0429631558391</v>
      </c>
      <c r="L510" s="5">
        <f t="shared" si="113"/>
        <v>0.44990719339200558</v>
      </c>
      <c r="M510" s="5">
        <f t="shared" si="114"/>
        <v>0</v>
      </c>
      <c r="N510" s="5">
        <f t="shared" si="115"/>
        <v>9381.1</v>
      </c>
    </row>
    <row r="511" spans="1:14" ht="31.5" x14ac:dyDescent="0.25">
      <c r="A511" s="35" t="s">
        <v>773</v>
      </c>
      <c r="B511" s="34" t="s">
        <v>985</v>
      </c>
      <c r="C511" s="30" t="s">
        <v>1674</v>
      </c>
      <c r="D511" s="80" t="s">
        <v>1675</v>
      </c>
      <c r="E511" s="5">
        <v>11.208</v>
      </c>
      <c r="F511" s="5">
        <v>0.161</v>
      </c>
      <c r="G511" s="5">
        <f t="shared" si="120"/>
        <v>11.369</v>
      </c>
      <c r="H511" s="5">
        <v>30358.47</v>
      </c>
      <c r="I511" s="5"/>
      <c r="J511" s="5">
        <f t="shared" si="119"/>
        <v>30358.47</v>
      </c>
      <c r="K511" s="5">
        <f t="shared" si="118"/>
        <v>2670.2849854868505</v>
      </c>
      <c r="L511" s="5">
        <f t="shared" si="113"/>
        <v>0.78725203181223713</v>
      </c>
      <c r="M511" s="5">
        <f t="shared" si="114"/>
        <v>0</v>
      </c>
      <c r="N511" s="5">
        <f t="shared" si="115"/>
        <v>3478.3</v>
      </c>
    </row>
    <row r="512" spans="1:14" ht="31.5" x14ac:dyDescent="0.25">
      <c r="A512" s="35" t="s">
        <v>773</v>
      </c>
      <c r="B512" s="34" t="s">
        <v>984</v>
      </c>
      <c r="C512" s="30" t="s">
        <v>1676</v>
      </c>
      <c r="D512" s="80" t="s">
        <v>1677</v>
      </c>
      <c r="E512" s="5">
        <v>5.431</v>
      </c>
      <c r="F512" s="5">
        <v>1.9E-2</v>
      </c>
      <c r="G512" s="5">
        <f t="shared" si="120"/>
        <v>5.45</v>
      </c>
      <c r="H512" s="5">
        <v>4100.5200000000004</v>
      </c>
      <c r="I512" s="5"/>
      <c r="J512" s="5">
        <f t="shared" si="119"/>
        <v>4100.5200000000004</v>
      </c>
      <c r="K512" s="5">
        <f t="shared" si="118"/>
        <v>752.3889908256881</v>
      </c>
      <c r="L512" s="5">
        <f>K512/$K$1659</f>
        <v>0.22181893129758543</v>
      </c>
      <c r="M512" s="5">
        <f t="shared" si="114"/>
        <v>0</v>
      </c>
      <c r="N512" s="5">
        <f t="shared" si="115"/>
        <v>10029.4</v>
      </c>
    </row>
    <row r="513" spans="1:14" ht="31.5" x14ac:dyDescent="0.25">
      <c r="A513" s="35" t="s">
        <v>773</v>
      </c>
      <c r="B513" s="34" t="s">
        <v>985</v>
      </c>
      <c r="C513" s="30" t="s">
        <v>1678</v>
      </c>
      <c r="D513" s="80" t="s">
        <v>1679</v>
      </c>
      <c r="E513" s="5">
        <v>8.2509999999999994</v>
      </c>
      <c r="F513" s="5">
        <v>0.08</v>
      </c>
      <c r="G513" s="5">
        <f t="shared" si="120"/>
        <v>8.3309999999999995</v>
      </c>
      <c r="H513" s="5">
        <v>7289.9809999999998</v>
      </c>
      <c r="I513" s="5"/>
      <c r="J513" s="5">
        <f t="shared" si="119"/>
        <v>7289.9809999999998</v>
      </c>
      <c r="K513" s="5">
        <f t="shared" si="118"/>
        <v>875.04273196495024</v>
      </c>
      <c r="L513" s="5">
        <f>K513/$K$1659</f>
        <v>0.25797964352345726</v>
      </c>
      <c r="M513" s="5">
        <f>ROUND(IF(L513&lt;110%,0,(K513-$K$1659*1.1)*0.5)*G513,1)</f>
        <v>0</v>
      </c>
      <c r="N513" s="5">
        <f t="shared" si="115"/>
        <v>14513.8</v>
      </c>
    </row>
    <row r="514" spans="1:14" ht="31.5" x14ac:dyDescent="0.25">
      <c r="A514" s="35" t="s">
        <v>773</v>
      </c>
      <c r="B514" s="34" t="s">
        <v>984</v>
      </c>
      <c r="C514" s="30" t="s">
        <v>1680</v>
      </c>
      <c r="D514" s="80" t="s">
        <v>2838</v>
      </c>
      <c r="E514" s="5">
        <v>9.15</v>
      </c>
      <c r="F514" s="5">
        <v>5.0999999999999997E-2</v>
      </c>
      <c r="G514" s="5">
        <f t="shared" si="120"/>
        <v>9.2010000000000005</v>
      </c>
      <c r="H514" s="5">
        <v>19477.5</v>
      </c>
      <c r="I514" s="5"/>
      <c r="J514" s="5">
        <f t="shared" si="119"/>
        <v>19477.5</v>
      </c>
      <c r="K514" s="5">
        <f t="shared" si="118"/>
        <v>2116.8894685360287</v>
      </c>
      <c r="L514" s="5">
        <f>K514/$K$1659</f>
        <v>0.62410025307582362</v>
      </c>
      <c r="M514" s="5">
        <f>ROUND(IF(L514&lt;110%,0,(K514-$K$1659*1.1)*0.5)*G514,1)</f>
        <v>0</v>
      </c>
      <c r="N514" s="5">
        <f t="shared" si="115"/>
        <v>6888.4</v>
      </c>
    </row>
    <row r="515" spans="1:14" ht="15.75" x14ac:dyDescent="0.25">
      <c r="A515" s="35" t="s">
        <v>773</v>
      </c>
      <c r="B515" s="34" t="s">
        <v>986</v>
      </c>
      <c r="C515" s="30" t="s">
        <v>1681</v>
      </c>
      <c r="D515" s="80" t="s">
        <v>1682</v>
      </c>
      <c r="E515" s="5">
        <v>36.719000000000001</v>
      </c>
      <c r="F515" s="5">
        <v>0.41</v>
      </c>
      <c r="G515" s="5">
        <f t="shared" si="120"/>
        <v>37.128999999999998</v>
      </c>
      <c r="H515" s="5">
        <v>74938.771999999997</v>
      </c>
      <c r="I515" s="5"/>
      <c r="J515" s="5">
        <f t="shared" si="119"/>
        <v>74938.771999999997</v>
      </c>
      <c r="K515" s="5">
        <f t="shared" si="118"/>
        <v>2018.3353174068789</v>
      </c>
      <c r="L515" s="5">
        <f>K515/$K$1659</f>
        <v>0.59504456945342266</v>
      </c>
      <c r="M515" s="5">
        <f>ROUND(IF(L515&lt;110%,0,(K515-$K$1659*1.1)*0.5)*G515,1)</f>
        <v>0</v>
      </c>
      <c r="N515" s="5">
        <f t="shared" si="115"/>
        <v>30724.400000000001</v>
      </c>
    </row>
    <row r="516" spans="1:14" ht="15.75" x14ac:dyDescent="0.25">
      <c r="A516" s="17" t="s">
        <v>777</v>
      </c>
      <c r="B516" s="17" t="s">
        <v>7</v>
      </c>
      <c r="C516" s="17" t="s">
        <v>778</v>
      </c>
      <c r="D516" s="11" t="s">
        <v>13</v>
      </c>
      <c r="E516" s="11">
        <f t="shared" ref="E516:J516" si="121">E517+E518+E525</f>
        <v>1361.1089999999997</v>
      </c>
      <c r="F516" s="11">
        <f t="shared" si="121"/>
        <v>3.9539999999999993</v>
      </c>
      <c r="G516" s="11">
        <f t="shared" si="121"/>
        <v>1364.9570000000001</v>
      </c>
      <c r="H516" s="11">
        <f t="shared" si="121"/>
        <v>3294713.7810000014</v>
      </c>
      <c r="I516" s="11">
        <f t="shared" si="121"/>
        <v>-20424.360000000004</v>
      </c>
      <c r="J516" s="11">
        <f t="shared" si="121"/>
        <v>3274289.421000002</v>
      </c>
      <c r="K516" s="11">
        <f t="shared" si="118"/>
        <v>2398.8223958703475</v>
      </c>
      <c r="L516" s="11">
        <f>K516/$K$1659</f>
        <v>0.70721957220656706</v>
      </c>
      <c r="M516" s="11">
        <f>M517+M518+M525</f>
        <v>100207.70000000001</v>
      </c>
      <c r="N516" s="11">
        <f>N517+N518+N525</f>
        <v>1103984.4999999998</v>
      </c>
    </row>
    <row r="517" spans="1:14" ht="15.75" x14ac:dyDescent="0.25">
      <c r="A517" s="33" t="s">
        <v>777</v>
      </c>
      <c r="B517" s="34" t="s">
        <v>6</v>
      </c>
      <c r="C517" s="18" t="s">
        <v>96</v>
      </c>
      <c r="D517" s="32" t="s">
        <v>846</v>
      </c>
      <c r="E517" s="5">
        <v>0</v>
      </c>
      <c r="F517" s="5">
        <v>0.106</v>
      </c>
      <c r="G517" s="5"/>
      <c r="H517" s="49"/>
      <c r="I517" s="49"/>
      <c r="J517" s="5"/>
      <c r="K517" s="5"/>
      <c r="L517" s="5"/>
      <c r="M517" s="5"/>
      <c r="N517" s="5"/>
    </row>
    <row r="518" spans="1:14" ht="15.75" x14ac:dyDescent="0.25">
      <c r="A518" s="19" t="s">
        <v>777</v>
      </c>
      <c r="B518" s="19" t="s">
        <v>5</v>
      </c>
      <c r="C518" s="19" t="s">
        <v>779</v>
      </c>
      <c r="D518" s="7" t="s">
        <v>2801</v>
      </c>
      <c r="E518" s="7">
        <f t="shared" ref="E518:J518" si="122">SUM(E519:E524)</f>
        <v>0</v>
      </c>
      <c r="F518" s="7">
        <f t="shared" si="122"/>
        <v>0</v>
      </c>
      <c r="G518" s="7">
        <f t="shared" si="122"/>
        <v>0</v>
      </c>
      <c r="H518" s="7">
        <f t="shared" si="122"/>
        <v>0</v>
      </c>
      <c r="I518" s="7">
        <f t="shared" si="122"/>
        <v>0</v>
      </c>
      <c r="J518" s="7">
        <f t="shared" si="122"/>
        <v>0</v>
      </c>
      <c r="K518" s="7" t="e">
        <f>J518/G518</f>
        <v>#DIV/0!</v>
      </c>
      <c r="L518" s="7" t="e">
        <f>K518/$K$1659</f>
        <v>#DIV/0!</v>
      </c>
      <c r="M518" s="7">
        <f>SUM(M519:M524)</f>
        <v>0</v>
      </c>
      <c r="N518" s="7">
        <f>SUM(N519:N524)</f>
        <v>0</v>
      </c>
    </row>
    <row r="519" spans="1:14" ht="21.75" customHeight="1" x14ac:dyDescent="0.25">
      <c r="A519" s="33" t="s">
        <v>777</v>
      </c>
      <c r="B519" s="34" t="s">
        <v>4</v>
      </c>
      <c r="C519" s="18" t="s">
        <v>2745</v>
      </c>
      <c r="D519" s="32" t="s">
        <v>2746</v>
      </c>
      <c r="E519" s="5"/>
      <c r="F519" s="5"/>
      <c r="G519" s="5"/>
      <c r="H519" s="49"/>
      <c r="I519" s="49"/>
      <c r="J519" s="5"/>
      <c r="K519" s="5"/>
      <c r="L519" s="5"/>
      <c r="M519" s="5"/>
      <c r="N519" s="5"/>
    </row>
    <row r="520" spans="1:14" ht="15.75" x14ac:dyDescent="0.25">
      <c r="A520" s="33" t="s">
        <v>777</v>
      </c>
      <c r="B520" s="34" t="s">
        <v>4</v>
      </c>
      <c r="C520" s="18" t="s">
        <v>97</v>
      </c>
      <c r="D520" s="32" t="s">
        <v>911</v>
      </c>
      <c r="E520" s="5"/>
      <c r="F520" s="5"/>
      <c r="G520" s="5"/>
      <c r="H520" s="49"/>
      <c r="I520" s="49"/>
      <c r="J520" s="5"/>
      <c r="K520" s="5"/>
      <c r="L520" s="5"/>
      <c r="M520" s="5"/>
      <c r="N520" s="5"/>
    </row>
    <row r="521" spans="1:14" s="13" customFormat="1" ht="15.75" x14ac:dyDescent="0.25">
      <c r="A521" s="33" t="s">
        <v>777</v>
      </c>
      <c r="B521" s="34" t="s">
        <v>4</v>
      </c>
      <c r="C521" s="18" t="s">
        <v>98</v>
      </c>
      <c r="D521" s="32" t="s">
        <v>912</v>
      </c>
      <c r="E521" s="5"/>
      <c r="F521" s="5"/>
      <c r="G521" s="5"/>
      <c r="H521" s="49"/>
      <c r="I521" s="49"/>
      <c r="J521" s="5"/>
      <c r="K521" s="5"/>
      <c r="L521" s="5"/>
      <c r="M521" s="5"/>
      <c r="N521" s="5"/>
    </row>
    <row r="522" spans="1:14" s="13" customFormat="1" ht="15.75" x14ac:dyDescent="0.25">
      <c r="A522" s="33" t="s">
        <v>777</v>
      </c>
      <c r="B522" s="34" t="s">
        <v>4</v>
      </c>
      <c r="C522" s="18" t="s">
        <v>99</v>
      </c>
      <c r="D522" s="32" t="s">
        <v>913</v>
      </c>
      <c r="E522" s="5"/>
      <c r="F522" s="5"/>
      <c r="G522" s="5"/>
      <c r="H522" s="49"/>
      <c r="I522" s="49"/>
      <c r="J522" s="5"/>
      <c r="K522" s="5"/>
      <c r="L522" s="5"/>
      <c r="M522" s="5"/>
      <c r="N522" s="5"/>
    </row>
    <row r="523" spans="1:14" s="13" customFormat="1" ht="15.75" x14ac:dyDescent="0.25">
      <c r="A523" s="33" t="s">
        <v>777</v>
      </c>
      <c r="B523" s="34" t="s">
        <v>4</v>
      </c>
      <c r="C523" s="18" t="s">
        <v>100</v>
      </c>
      <c r="D523" s="32" t="s">
        <v>914</v>
      </c>
      <c r="E523" s="5"/>
      <c r="F523" s="5"/>
      <c r="G523" s="5"/>
      <c r="H523" s="49"/>
      <c r="I523" s="49"/>
      <c r="J523" s="5"/>
      <c r="K523" s="5"/>
      <c r="L523" s="5"/>
      <c r="M523" s="5"/>
      <c r="N523" s="5"/>
    </row>
    <row r="524" spans="1:14" s="13" customFormat="1" ht="15.75" x14ac:dyDescent="0.25">
      <c r="A524" s="33" t="s">
        <v>777</v>
      </c>
      <c r="B524" s="34" t="s">
        <v>4</v>
      </c>
      <c r="C524" s="30" t="s">
        <v>1683</v>
      </c>
      <c r="D524" s="32" t="s">
        <v>1684</v>
      </c>
      <c r="E524" s="5"/>
      <c r="F524" s="5"/>
      <c r="G524" s="5"/>
      <c r="H524" s="49"/>
      <c r="I524" s="49"/>
      <c r="J524" s="5"/>
      <c r="K524" s="5"/>
      <c r="L524" s="5"/>
      <c r="M524" s="5"/>
      <c r="N524" s="5"/>
    </row>
    <row r="525" spans="1:14" s="13" customFormat="1" ht="31.5" x14ac:dyDescent="0.25">
      <c r="A525" s="19" t="s">
        <v>777</v>
      </c>
      <c r="B525" s="19" t="s">
        <v>28</v>
      </c>
      <c r="C525" s="19" t="s">
        <v>780</v>
      </c>
      <c r="D525" s="20" t="s">
        <v>2775</v>
      </c>
      <c r="E525" s="7">
        <f t="shared" ref="E525:J525" si="123">SUM(E526:E587)</f>
        <v>1361.1089999999997</v>
      </c>
      <c r="F525" s="7">
        <f t="shared" si="123"/>
        <v>3.8479999999999994</v>
      </c>
      <c r="G525" s="7">
        <f t="shared" si="123"/>
        <v>1364.9570000000001</v>
      </c>
      <c r="H525" s="7">
        <f t="shared" si="123"/>
        <v>3294713.7810000014</v>
      </c>
      <c r="I525" s="7">
        <f t="shared" si="123"/>
        <v>-20424.360000000004</v>
      </c>
      <c r="J525" s="7">
        <f t="shared" si="123"/>
        <v>3274289.421000002</v>
      </c>
      <c r="K525" s="7">
        <f t="shared" ref="K525:K561" si="124">J525/G525</f>
        <v>2398.8223958703475</v>
      </c>
      <c r="L525" s="7">
        <f t="shared" ref="L525:L556" si="125">K525/$K$1659</f>
        <v>0.70721957220656706</v>
      </c>
      <c r="M525" s="7">
        <f>SUM(M526:M587)</f>
        <v>100207.70000000001</v>
      </c>
      <c r="N525" s="7">
        <f>SUM(N526:N587)</f>
        <v>1103984.4999999998</v>
      </c>
    </row>
    <row r="526" spans="1:14" s="13" customFormat="1" ht="31.5" x14ac:dyDescent="0.25">
      <c r="A526" s="33" t="s">
        <v>777</v>
      </c>
      <c r="B526" s="34" t="s">
        <v>984</v>
      </c>
      <c r="C526" s="18" t="s">
        <v>101</v>
      </c>
      <c r="D526" s="32" t="s">
        <v>1685</v>
      </c>
      <c r="E526" s="5">
        <v>10.202999999999999</v>
      </c>
      <c r="F526" s="5">
        <v>8.9999999999999993E-3</v>
      </c>
      <c r="G526" s="5">
        <f t="shared" ref="G526:G564" si="126">F526+E526</f>
        <v>10.212</v>
      </c>
      <c r="H526" s="49">
        <v>10665.35</v>
      </c>
      <c r="I526" s="49"/>
      <c r="J526" s="5">
        <f t="shared" ref="J526:J561" si="127">H526+I526</f>
        <v>10665.35</v>
      </c>
      <c r="K526" s="5">
        <f t="shared" si="124"/>
        <v>1044.3938503721113</v>
      </c>
      <c r="L526" s="5">
        <f t="shared" si="125"/>
        <v>0.30790765224923927</v>
      </c>
      <c r="M526" s="5">
        <f t="shared" ref="M526:M557" si="128">ROUND(IF(L526&lt;110%,0,(K526-$K$1659*1.1)*0.5)*G526,1)</f>
        <v>0</v>
      </c>
      <c r="N526" s="5">
        <f t="shared" ref="N526:N557" si="129">ROUND(IF(L526&gt;90%,0,(-K526+$K$1659*0.9)*0.8)*G526,1)</f>
        <v>16407.2</v>
      </c>
    </row>
    <row r="527" spans="1:14" s="13" customFormat="1" ht="31.5" x14ac:dyDescent="0.25">
      <c r="A527" s="33" t="s">
        <v>777</v>
      </c>
      <c r="B527" s="34" t="s">
        <v>985</v>
      </c>
      <c r="C527" s="18" t="s">
        <v>102</v>
      </c>
      <c r="D527" s="32" t="s">
        <v>1686</v>
      </c>
      <c r="E527" s="5">
        <v>17.004999999999999</v>
      </c>
      <c r="F527" s="5">
        <v>1.2999999999999999E-2</v>
      </c>
      <c r="G527" s="5">
        <f t="shared" si="126"/>
        <v>17.018000000000001</v>
      </c>
      <c r="H527" s="49">
        <v>12672.357</v>
      </c>
      <c r="I527" s="49">
        <f>(17.86)*0.6</f>
        <v>10.715999999999999</v>
      </c>
      <c r="J527" s="5">
        <f t="shared" si="127"/>
        <v>12683.073</v>
      </c>
      <c r="K527" s="5">
        <f t="shared" si="124"/>
        <v>745.27400399576914</v>
      </c>
      <c r="L527" s="5">
        <f t="shared" si="125"/>
        <v>0.21972129457767939</v>
      </c>
      <c r="M527" s="5">
        <f t="shared" si="128"/>
        <v>0</v>
      </c>
      <c r="N527" s="5">
        <f t="shared" si="129"/>
        <v>31414.400000000001</v>
      </c>
    </row>
    <row r="528" spans="1:14" s="13" customFormat="1" ht="31.5" x14ac:dyDescent="0.25">
      <c r="A528" s="33" t="s">
        <v>777</v>
      </c>
      <c r="B528" s="34" t="s">
        <v>984</v>
      </c>
      <c r="C528" s="18" t="s">
        <v>103</v>
      </c>
      <c r="D528" s="32" t="s">
        <v>1687</v>
      </c>
      <c r="E528" s="5">
        <v>5.9260000000000002</v>
      </c>
      <c r="F528" s="5">
        <v>2E-3</v>
      </c>
      <c r="G528" s="5">
        <f t="shared" si="126"/>
        <v>5.9279999999999999</v>
      </c>
      <c r="H528" s="49">
        <v>4257.7690000000002</v>
      </c>
      <c r="I528" s="49">
        <f>(245.71)*0.6</f>
        <v>147.42599999999999</v>
      </c>
      <c r="J528" s="5">
        <f t="shared" si="127"/>
        <v>4405.1950000000006</v>
      </c>
      <c r="K528" s="5">
        <f t="shared" si="124"/>
        <v>743.11656545209189</v>
      </c>
      <c r="L528" s="5">
        <f t="shared" si="125"/>
        <v>0.21908523966734167</v>
      </c>
      <c r="M528" s="5">
        <f t="shared" si="128"/>
        <v>0</v>
      </c>
      <c r="N528" s="5">
        <f t="shared" si="129"/>
        <v>10953</v>
      </c>
    </row>
    <row r="529" spans="1:14" s="13" customFormat="1" ht="31.5" x14ac:dyDescent="0.25">
      <c r="A529" s="33" t="s">
        <v>777</v>
      </c>
      <c r="B529" s="34" t="s">
        <v>984</v>
      </c>
      <c r="C529" s="18" t="s">
        <v>293</v>
      </c>
      <c r="D529" s="32" t="s">
        <v>1688</v>
      </c>
      <c r="E529" s="5">
        <v>8.6389999999999993</v>
      </c>
      <c r="F529" s="5">
        <v>5.0000000000000001E-3</v>
      </c>
      <c r="G529" s="5">
        <f t="shared" si="126"/>
        <v>8.6440000000000001</v>
      </c>
      <c r="H529" s="49">
        <v>8556.5409999999993</v>
      </c>
      <c r="I529" s="49"/>
      <c r="J529" s="5">
        <f t="shared" si="127"/>
        <v>8556.5409999999993</v>
      </c>
      <c r="K529" s="5">
        <f t="shared" si="124"/>
        <v>989.88211476168431</v>
      </c>
      <c r="L529" s="5">
        <f t="shared" si="125"/>
        <v>0.29183653068350279</v>
      </c>
      <c r="M529" s="5">
        <f t="shared" si="128"/>
        <v>0</v>
      </c>
      <c r="N529" s="5">
        <f t="shared" si="129"/>
        <v>14264.9</v>
      </c>
    </row>
    <row r="530" spans="1:14" s="12" customFormat="1" ht="15.75" x14ac:dyDescent="0.25">
      <c r="A530" s="33" t="s">
        <v>777</v>
      </c>
      <c r="B530" s="34" t="s">
        <v>983</v>
      </c>
      <c r="C530" s="18" t="s">
        <v>369</v>
      </c>
      <c r="D530" s="32" t="s">
        <v>2979</v>
      </c>
      <c r="E530" s="5">
        <v>27.446000000000002</v>
      </c>
      <c r="F530" s="5">
        <v>8.9999999999999993E-3</v>
      </c>
      <c r="G530" s="5">
        <f t="shared" si="126"/>
        <v>27.455000000000002</v>
      </c>
      <c r="H530" s="49">
        <v>27803.642</v>
      </c>
      <c r="I530" s="49">
        <f>(6303.7)*0.6</f>
        <v>3782.22</v>
      </c>
      <c r="J530" s="5">
        <f t="shared" si="127"/>
        <v>31585.862000000001</v>
      </c>
      <c r="K530" s="5">
        <f t="shared" si="124"/>
        <v>1150.459369877982</v>
      </c>
      <c r="L530" s="5">
        <f t="shared" si="125"/>
        <v>0.33917783359319548</v>
      </c>
      <c r="M530" s="5">
        <f t="shared" si="128"/>
        <v>0</v>
      </c>
      <c r="N530" s="5">
        <f t="shared" si="129"/>
        <v>41781.199999999997</v>
      </c>
    </row>
    <row r="531" spans="1:14" ht="31.5" x14ac:dyDescent="0.25">
      <c r="A531" s="33" t="s">
        <v>777</v>
      </c>
      <c r="B531" s="34" t="s">
        <v>985</v>
      </c>
      <c r="C531" s="18" t="s">
        <v>370</v>
      </c>
      <c r="D531" s="32" t="s">
        <v>1690</v>
      </c>
      <c r="E531" s="5">
        <v>7.673</v>
      </c>
      <c r="F531" s="5">
        <v>0</v>
      </c>
      <c r="G531" s="5">
        <f t="shared" si="126"/>
        <v>7.673</v>
      </c>
      <c r="H531" s="49">
        <v>7442.098</v>
      </c>
      <c r="I531" s="49"/>
      <c r="J531" s="5">
        <f t="shared" si="127"/>
        <v>7442.098</v>
      </c>
      <c r="K531" s="5">
        <f t="shared" si="124"/>
        <v>969.90720708979541</v>
      </c>
      <c r="L531" s="5">
        <f t="shared" si="125"/>
        <v>0.28594753878360291</v>
      </c>
      <c r="M531" s="5">
        <f t="shared" si="128"/>
        <v>0</v>
      </c>
      <c r="N531" s="5">
        <f t="shared" si="129"/>
        <v>12785.1</v>
      </c>
    </row>
    <row r="532" spans="1:14" ht="15.75" x14ac:dyDescent="0.25">
      <c r="A532" s="33" t="s">
        <v>777</v>
      </c>
      <c r="B532" s="34" t="s">
        <v>984</v>
      </c>
      <c r="C532" s="18" t="s">
        <v>371</v>
      </c>
      <c r="D532" s="32" t="s">
        <v>1691</v>
      </c>
      <c r="E532" s="5">
        <v>5.7480000000000002</v>
      </c>
      <c r="F532" s="5">
        <v>2.1000000000000001E-2</v>
      </c>
      <c r="G532" s="5">
        <f t="shared" si="126"/>
        <v>5.7690000000000001</v>
      </c>
      <c r="H532" s="49">
        <v>3970.5329999999999</v>
      </c>
      <c r="I532" s="49"/>
      <c r="J532" s="5">
        <f t="shared" si="127"/>
        <v>3970.5329999999999</v>
      </c>
      <c r="K532" s="5">
        <f t="shared" si="124"/>
        <v>688.2532501300052</v>
      </c>
      <c r="L532" s="5">
        <f t="shared" si="125"/>
        <v>0.20291046555371145</v>
      </c>
      <c r="M532" s="5">
        <f t="shared" si="128"/>
        <v>0</v>
      </c>
      <c r="N532" s="5">
        <f t="shared" si="129"/>
        <v>10912.5</v>
      </c>
    </row>
    <row r="533" spans="1:14" ht="15.75" x14ac:dyDescent="0.25">
      <c r="A533" s="33" t="s">
        <v>777</v>
      </c>
      <c r="B533" s="34" t="s">
        <v>984</v>
      </c>
      <c r="C533" s="18" t="s">
        <v>372</v>
      </c>
      <c r="D533" s="32" t="s">
        <v>1692</v>
      </c>
      <c r="E533" s="5">
        <v>8.125</v>
      </c>
      <c r="F533" s="5">
        <v>0</v>
      </c>
      <c r="G533" s="5">
        <f t="shared" si="126"/>
        <v>8.125</v>
      </c>
      <c r="H533" s="49">
        <v>5051.8090000000002</v>
      </c>
      <c r="I533" s="49"/>
      <c r="J533" s="5">
        <f t="shared" si="127"/>
        <v>5051.8090000000002</v>
      </c>
      <c r="K533" s="5">
        <f t="shared" si="124"/>
        <v>621.76110769230775</v>
      </c>
      <c r="L533" s="5">
        <f t="shared" si="125"/>
        <v>0.18330728667275684</v>
      </c>
      <c r="M533" s="5">
        <f t="shared" si="128"/>
        <v>0</v>
      </c>
      <c r="N533" s="5">
        <f t="shared" si="129"/>
        <v>15801.2</v>
      </c>
    </row>
    <row r="534" spans="1:14" ht="31.5" x14ac:dyDescent="0.25">
      <c r="A534" s="33" t="s">
        <v>777</v>
      </c>
      <c r="B534" s="34" t="s">
        <v>984</v>
      </c>
      <c r="C534" s="18" t="s">
        <v>373</v>
      </c>
      <c r="D534" s="32" t="s">
        <v>1693</v>
      </c>
      <c r="E534" s="5">
        <v>8.0220000000000002</v>
      </c>
      <c r="F534" s="5">
        <v>0.01</v>
      </c>
      <c r="G534" s="5">
        <f t="shared" si="126"/>
        <v>8.032</v>
      </c>
      <c r="H534" s="49">
        <v>7127.3630000000003</v>
      </c>
      <c r="I534" s="49"/>
      <c r="J534" s="5">
        <f t="shared" si="127"/>
        <v>7127.3630000000003</v>
      </c>
      <c r="K534" s="5">
        <f t="shared" si="124"/>
        <v>887.37089143426294</v>
      </c>
      <c r="L534" s="5">
        <f t="shared" si="125"/>
        <v>0.26161422509189314</v>
      </c>
      <c r="M534" s="5">
        <f t="shared" si="128"/>
        <v>0</v>
      </c>
      <c r="N534" s="5">
        <f t="shared" si="129"/>
        <v>13913.6</v>
      </c>
    </row>
    <row r="535" spans="1:14" ht="31.5" x14ac:dyDescent="0.25">
      <c r="A535" s="33" t="s">
        <v>777</v>
      </c>
      <c r="B535" s="34" t="s">
        <v>984</v>
      </c>
      <c r="C535" s="18" t="s">
        <v>374</v>
      </c>
      <c r="D535" s="32" t="s">
        <v>1694</v>
      </c>
      <c r="E535" s="5">
        <v>13.182</v>
      </c>
      <c r="F535" s="5">
        <v>1.6E-2</v>
      </c>
      <c r="G535" s="5">
        <f t="shared" si="126"/>
        <v>13.198</v>
      </c>
      <c r="H535" s="49">
        <v>9459.8349999999991</v>
      </c>
      <c r="I535" s="49"/>
      <c r="J535" s="5">
        <f t="shared" si="127"/>
        <v>9459.8349999999991</v>
      </c>
      <c r="K535" s="5">
        <f t="shared" si="124"/>
        <v>716.76276708592206</v>
      </c>
      <c r="L535" s="5">
        <f t="shared" si="125"/>
        <v>0.21131562652773345</v>
      </c>
      <c r="M535" s="5">
        <f t="shared" si="128"/>
        <v>0</v>
      </c>
      <c r="N535" s="5">
        <f t="shared" si="129"/>
        <v>24663.9</v>
      </c>
    </row>
    <row r="536" spans="1:14" ht="15.75" x14ac:dyDescent="0.25">
      <c r="A536" s="33" t="s">
        <v>777</v>
      </c>
      <c r="B536" s="34" t="s">
        <v>984</v>
      </c>
      <c r="C536" s="18" t="s">
        <v>375</v>
      </c>
      <c r="D536" s="32" t="s">
        <v>1695</v>
      </c>
      <c r="E536" s="5">
        <v>10.944000000000001</v>
      </c>
      <c r="F536" s="5">
        <v>5.0000000000000001E-3</v>
      </c>
      <c r="G536" s="5">
        <f t="shared" si="126"/>
        <v>10.949000000000002</v>
      </c>
      <c r="H536" s="49">
        <v>7590.2280000000001</v>
      </c>
      <c r="I536" s="49"/>
      <c r="J536" s="5">
        <f t="shared" si="127"/>
        <v>7590.2280000000001</v>
      </c>
      <c r="K536" s="5">
        <f t="shared" si="124"/>
        <v>693.2348159649282</v>
      </c>
      <c r="L536" s="5">
        <f t="shared" si="125"/>
        <v>0.20437912820450133</v>
      </c>
      <c r="M536" s="5">
        <f t="shared" si="128"/>
        <v>0</v>
      </c>
      <c r="N536" s="5">
        <f t="shared" si="129"/>
        <v>20667.2</v>
      </c>
    </row>
    <row r="537" spans="1:14" ht="31.5" x14ac:dyDescent="0.25">
      <c r="A537" s="33" t="s">
        <v>777</v>
      </c>
      <c r="B537" s="34" t="s">
        <v>984</v>
      </c>
      <c r="C537" s="18" t="s">
        <v>484</v>
      </c>
      <c r="D537" s="32" t="s">
        <v>1696</v>
      </c>
      <c r="E537" s="5">
        <v>8.7959999999999994</v>
      </c>
      <c r="F537" s="5">
        <v>3.0000000000000001E-3</v>
      </c>
      <c r="G537" s="5">
        <f t="shared" si="126"/>
        <v>8.7989999999999995</v>
      </c>
      <c r="H537" s="49">
        <v>6285.9520000000002</v>
      </c>
      <c r="I537" s="49">
        <f>(1886.7)*0.6</f>
        <v>1132.02</v>
      </c>
      <c r="J537" s="5">
        <f t="shared" si="127"/>
        <v>7417.9719999999998</v>
      </c>
      <c r="K537" s="5">
        <f t="shared" si="124"/>
        <v>843.04716445050576</v>
      </c>
      <c r="L537" s="5">
        <f t="shared" si="125"/>
        <v>0.24854672693529031</v>
      </c>
      <c r="M537" s="5">
        <f t="shared" si="128"/>
        <v>0</v>
      </c>
      <c r="N537" s="5">
        <f t="shared" si="129"/>
        <v>15554.3</v>
      </c>
    </row>
    <row r="538" spans="1:14" ht="31.5" x14ac:dyDescent="0.25">
      <c r="A538" s="33" t="s">
        <v>777</v>
      </c>
      <c r="B538" s="34" t="s">
        <v>984</v>
      </c>
      <c r="C538" s="18" t="s">
        <v>560</v>
      </c>
      <c r="D538" s="32" t="s">
        <v>1697</v>
      </c>
      <c r="E538" s="5">
        <v>8.2910000000000004</v>
      </c>
      <c r="F538" s="5">
        <v>1.2E-2</v>
      </c>
      <c r="G538" s="5">
        <f t="shared" si="126"/>
        <v>8.3030000000000008</v>
      </c>
      <c r="H538" s="49">
        <v>4871.308</v>
      </c>
      <c r="I538" s="49"/>
      <c r="J538" s="5">
        <f t="shared" si="127"/>
        <v>4871.308</v>
      </c>
      <c r="K538" s="5">
        <f t="shared" si="124"/>
        <v>586.69252077562317</v>
      </c>
      <c r="L538" s="5">
        <f t="shared" si="125"/>
        <v>0.17296838410131071</v>
      </c>
      <c r="M538" s="5">
        <f t="shared" si="128"/>
        <v>0</v>
      </c>
      <c r="N538" s="5">
        <f t="shared" si="129"/>
        <v>16380.3</v>
      </c>
    </row>
    <row r="539" spans="1:14" ht="31.5" x14ac:dyDescent="0.25">
      <c r="A539" s="33" t="s">
        <v>777</v>
      </c>
      <c r="B539" s="34" t="s">
        <v>984</v>
      </c>
      <c r="C539" s="18" t="s">
        <v>561</v>
      </c>
      <c r="D539" s="32" t="s">
        <v>1698</v>
      </c>
      <c r="E539" s="5">
        <v>11.994</v>
      </c>
      <c r="F539" s="5">
        <v>7.0000000000000001E-3</v>
      </c>
      <c r="G539" s="5">
        <f t="shared" si="126"/>
        <v>12.000999999999999</v>
      </c>
      <c r="H539" s="49">
        <v>6902.92</v>
      </c>
      <c r="I539" s="49"/>
      <c r="J539" s="5">
        <f t="shared" si="127"/>
        <v>6902.92</v>
      </c>
      <c r="K539" s="5">
        <f t="shared" si="124"/>
        <v>575.19540038330138</v>
      </c>
      <c r="L539" s="5">
        <f t="shared" si="125"/>
        <v>0.16957880904170522</v>
      </c>
      <c r="M539" s="5">
        <f t="shared" si="128"/>
        <v>0</v>
      </c>
      <c r="N539" s="5">
        <f t="shared" si="129"/>
        <v>23786.2</v>
      </c>
    </row>
    <row r="540" spans="1:14" ht="31.5" x14ac:dyDescent="0.25">
      <c r="A540" s="33" t="s">
        <v>777</v>
      </c>
      <c r="B540" s="34" t="s">
        <v>985</v>
      </c>
      <c r="C540" s="18" t="s">
        <v>562</v>
      </c>
      <c r="D540" s="32" t="s">
        <v>1699</v>
      </c>
      <c r="E540" s="5">
        <v>15.801</v>
      </c>
      <c r="F540" s="5">
        <v>0.01</v>
      </c>
      <c r="G540" s="5">
        <f t="shared" si="126"/>
        <v>15.811</v>
      </c>
      <c r="H540" s="49">
        <v>12077.026</v>
      </c>
      <c r="I540" s="49"/>
      <c r="J540" s="5">
        <f t="shared" si="127"/>
        <v>12077.026</v>
      </c>
      <c r="K540" s="5">
        <f t="shared" si="124"/>
        <v>763.83694895958513</v>
      </c>
      <c r="L540" s="5">
        <f t="shared" si="125"/>
        <v>0.22519401236570921</v>
      </c>
      <c r="M540" s="5">
        <f t="shared" si="128"/>
        <v>0</v>
      </c>
      <c r="N540" s="5">
        <f t="shared" si="129"/>
        <v>28951.599999999999</v>
      </c>
    </row>
    <row r="541" spans="1:14" ht="31.5" x14ac:dyDescent="0.25">
      <c r="A541" s="33" t="s">
        <v>777</v>
      </c>
      <c r="B541" s="34" t="s">
        <v>984</v>
      </c>
      <c r="C541" s="18" t="s">
        <v>563</v>
      </c>
      <c r="D541" s="32" t="s">
        <v>1700</v>
      </c>
      <c r="E541" s="5">
        <v>9.1850000000000005</v>
      </c>
      <c r="F541" s="5">
        <v>5.0000000000000001E-3</v>
      </c>
      <c r="G541" s="5">
        <f t="shared" si="126"/>
        <v>9.1900000000000013</v>
      </c>
      <c r="H541" s="49">
        <v>5825.027</v>
      </c>
      <c r="I541" s="49"/>
      <c r="J541" s="5">
        <f t="shared" si="127"/>
        <v>5825.027</v>
      </c>
      <c r="K541" s="5">
        <f t="shared" si="124"/>
        <v>633.84406964091397</v>
      </c>
      <c r="L541" s="5">
        <f t="shared" si="125"/>
        <v>0.18686957923555456</v>
      </c>
      <c r="M541" s="5">
        <f t="shared" si="128"/>
        <v>0</v>
      </c>
      <c r="N541" s="5">
        <f t="shared" si="129"/>
        <v>17783.5</v>
      </c>
    </row>
    <row r="542" spans="1:14" ht="31.5" x14ac:dyDescent="0.25">
      <c r="A542" s="33" t="s">
        <v>777</v>
      </c>
      <c r="B542" s="34" t="s">
        <v>985</v>
      </c>
      <c r="C542" s="18" t="s">
        <v>564</v>
      </c>
      <c r="D542" s="32" t="s">
        <v>1701</v>
      </c>
      <c r="E542" s="5">
        <v>11.092000000000001</v>
      </c>
      <c r="F542" s="5">
        <v>2E-3</v>
      </c>
      <c r="G542" s="5">
        <f t="shared" si="126"/>
        <v>11.094000000000001</v>
      </c>
      <c r="H542" s="49">
        <v>6841.1719999999996</v>
      </c>
      <c r="I542" s="49"/>
      <c r="J542" s="5">
        <f t="shared" si="127"/>
        <v>6841.1719999999996</v>
      </c>
      <c r="K542" s="5">
        <f t="shared" si="124"/>
        <v>616.65512889850356</v>
      </c>
      <c r="L542" s="5">
        <f t="shared" si="125"/>
        <v>0.18180194465808058</v>
      </c>
      <c r="M542" s="5">
        <f t="shared" si="128"/>
        <v>0</v>
      </c>
      <c r="N542" s="5">
        <f t="shared" si="129"/>
        <v>21620.5</v>
      </c>
    </row>
    <row r="543" spans="1:14" ht="31.5" x14ac:dyDescent="0.25">
      <c r="A543" s="33" t="s">
        <v>777</v>
      </c>
      <c r="B543" s="34" t="s">
        <v>985</v>
      </c>
      <c r="C543" s="18" t="s">
        <v>565</v>
      </c>
      <c r="D543" s="32" t="s">
        <v>1702</v>
      </c>
      <c r="E543" s="5">
        <v>19.751999999999999</v>
      </c>
      <c r="F543" s="5">
        <v>1.4E-2</v>
      </c>
      <c r="G543" s="5">
        <f t="shared" si="126"/>
        <v>19.765999999999998</v>
      </c>
      <c r="H543" s="49">
        <v>16113.995000000001</v>
      </c>
      <c r="I543" s="49"/>
      <c r="J543" s="5">
        <f t="shared" si="127"/>
        <v>16113.995000000001</v>
      </c>
      <c r="K543" s="5">
        <f t="shared" si="124"/>
        <v>815.23803500961253</v>
      </c>
      <c r="L543" s="5">
        <f t="shared" si="125"/>
        <v>0.2403480538444924</v>
      </c>
      <c r="M543" s="5">
        <f t="shared" si="128"/>
        <v>0</v>
      </c>
      <c r="N543" s="5">
        <f t="shared" si="129"/>
        <v>35380.800000000003</v>
      </c>
    </row>
    <row r="544" spans="1:14" ht="15.75" x14ac:dyDescent="0.25">
      <c r="A544" s="33" t="s">
        <v>777</v>
      </c>
      <c r="B544" s="34" t="s">
        <v>984</v>
      </c>
      <c r="C544" s="18" t="s">
        <v>566</v>
      </c>
      <c r="D544" s="32" t="s">
        <v>2980</v>
      </c>
      <c r="E544" s="5">
        <v>9.2729999999999997</v>
      </c>
      <c r="F544" s="5">
        <v>5.0000000000000001E-3</v>
      </c>
      <c r="G544" s="5">
        <f t="shared" si="126"/>
        <v>9.2780000000000005</v>
      </c>
      <c r="H544" s="49">
        <v>90915.252999999997</v>
      </c>
      <c r="I544" s="49">
        <f>(338.1)*0.6</f>
        <v>202.86</v>
      </c>
      <c r="J544" s="5">
        <f t="shared" si="127"/>
        <v>91118.112999999998</v>
      </c>
      <c r="K544" s="5">
        <f t="shared" si="124"/>
        <v>9820.8787454192698</v>
      </c>
      <c r="L544" s="5">
        <f t="shared" si="125"/>
        <v>2.8953863683217747</v>
      </c>
      <c r="M544" s="5">
        <f t="shared" si="128"/>
        <v>28250.5</v>
      </c>
      <c r="N544" s="5">
        <f t="shared" si="129"/>
        <v>0</v>
      </c>
    </row>
    <row r="545" spans="1:14" s="24" customFormat="1" ht="31.5" x14ac:dyDescent="0.25">
      <c r="A545" s="33" t="s">
        <v>777</v>
      </c>
      <c r="B545" s="34" t="s">
        <v>985</v>
      </c>
      <c r="C545" s="18" t="s">
        <v>567</v>
      </c>
      <c r="D545" s="32" t="s">
        <v>1704</v>
      </c>
      <c r="E545" s="5">
        <v>11.16</v>
      </c>
      <c r="F545" s="5">
        <v>5.0000000000000001E-3</v>
      </c>
      <c r="G545" s="5">
        <f t="shared" si="126"/>
        <v>11.165000000000001</v>
      </c>
      <c r="H545" s="49">
        <v>28012.833999999999</v>
      </c>
      <c r="I545" s="49"/>
      <c r="J545" s="5">
        <f t="shared" si="127"/>
        <v>28012.833999999999</v>
      </c>
      <c r="K545" s="5">
        <f t="shared" si="124"/>
        <v>2508.9864755933718</v>
      </c>
      <c r="L545" s="5">
        <f t="shared" si="125"/>
        <v>0.73969808894393474</v>
      </c>
      <c r="M545" s="5">
        <f t="shared" si="128"/>
        <v>0</v>
      </c>
      <c r="N545" s="5">
        <f t="shared" si="129"/>
        <v>4856.6000000000004</v>
      </c>
    </row>
    <row r="546" spans="1:14" s="24" customFormat="1" ht="31.5" x14ac:dyDescent="0.25">
      <c r="A546" s="33" t="s">
        <v>777</v>
      </c>
      <c r="B546" s="34" t="s">
        <v>985</v>
      </c>
      <c r="C546" s="18" t="s">
        <v>691</v>
      </c>
      <c r="D546" s="32" t="s">
        <v>1705</v>
      </c>
      <c r="E546" s="5">
        <v>10.375</v>
      </c>
      <c r="F546" s="5">
        <v>6.0000000000000001E-3</v>
      </c>
      <c r="G546" s="5">
        <f t="shared" si="126"/>
        <v>10.381</v>
      </c>
      <c r="H546" s="49">
        <v>9149.1869999999999</v>
      </c>
      <c r="I546" s="49">
        <f>(98.4)*0.6</f>
        <v>59.04</v>
      </c>
      <c r="J546" s="5">
        <f t="shared" si="127"/>
        <v>9208.2270000000008</v>
      </c>
      <c r="K546" s="5">
        <f t="shared" si="124"/>
        <v>887.0269723533379</v>
      </c>
      <c r="L546" s="5">
        <f t="shared" si="125"/>
        <v>0.26151283104717182</v>
      </c>
      <c r="M546" s="5">
        <f t="shared" si="128"/>
        <v>0</v>
      </c>
      <c r="N546" s="5">
        <f t="shared" si="129"/>
        <v>17985.599999999999</v>
      </c>
    </row>
    <row r="547" spans="1:14" s="24" customFormat="1" ht="31.5" x14ac:dyDescent="0.25">
      <c r="A547" s="33" t="s">
        <v>777</v>
      </c>
      <c r="B547" s="34" t="s">
        <v>985</v>
      </c>
      <c r="C547" s="18" t="s">
        <v>692</v>
      </c>
      <c r="D547" s="32" t="s">
        <v>1706</v>
      </c>
      <c r="E547" s="5">
        <v>21.312000000000001</v>
      </c>
      <c r="F547" s="5">
        <v>1.9E-2</v>
      </c>
      <c r="G547" s="5">
        <f t="shared" si="126"/>
        <v>21.331</v>
      </c>
      <c r="H547" s="49">
        <v>24446.256000000001</v>
      </c>
      <c r="I547" s="49"/>
      <c r="J547" s="5">
        <f t="shared" si="127"/>
        <v>24446.256000000001</v>
      </c>
      <c r="K547" s="5">
        <f t="shared" si="124"/>
        <v>1146.0435985185879</v>
      </c>
      <c r="L547" s="5">
        <f t="shared" si="125"/>
        <v>0.33787597817566689</v>
      </c>
      <c r="M547" s="5">
        <f t="shared" si="128"/>
        <v>0</v>
      </c>
      <c r="N547" s="5">
        <f t="shared" si="129"/>
        <v>32537</v>
      </c>
    </row>
    <row r="548" spans="1:14" s="24" customFormat="1" ht="15.75" x14ac:dyDescent="0.25">
      <c r="A548" s="33" t="s">
        <v>777</v>
      </c>
      <c r="B548" s="34" t="s">
        <v>984</v>
      </c>
      <c r="C548" s="18" t="s">
        <v>693</v>
      </c>
      <c r="D548" s="32" t="s">
        <v>1707</v>
      </c>
      <c r="E548" s="5">
        <v>5.8070000000000004</v>
      </c>
      <c r="F548" s="5">
        <v>2E-3</v>
      </c>
      <c r="G548" s="5">
        <f t="shared" si="126"/>
        <v>5.8090000000000002</v>
      </c>
      <c r="H548" s="49">
        <v>3973.721</v>
      </c>
      <c r="I548" s="49"/>
      <c r="J548" s="5">
        <f t="shared" si="127"/>
        <v>3973.721</v>
      </c>
      <c r="K548" s="5">
        <f t="shared" si="124"/>
        <v>684.06283353417109</v>
      </c>
      <c r="L548" s="5">
        <f t="shared" si="125"/>
        <v>0.20167504911047041</v>
      </c>
      <c r="M548" s="5">
        <f t="shared" si="128"/>
        <v>0</v>
      </c>
      <c r="N548" s="5">
        <f t="shared" si="129"/>
        <v>11007.6</v>
      </c>
    </row>
    <row r="549" spans="1:14" ht="31.5" x14ac:dyDescent="0.25">
      <c r="A549" s="33" t="s">
        <v>777</v>
      </c>
      <c r="B549" s="34" t="s">
        <v>984</v>
      </c>
      <c r="C549" s="18" t="s">
        <v>834</v>
      </c>
      <c r="D549" s="32" t="s">
        <v>1708</v>
      </c>
      <c r="E549" s="5">
        <v>5.766</v>
      </c>
      <c r="F549" s="5">
        <v>1.4E-2</v>
      </c>
      <c r="G549" s="5">
        <f t="shared" si="126"/>
        <v>5.78</v>
      </c>
      <c r="H549" s="49">
        <v>8435.2569999999996</v>
      </c>
      <c r="I549" s="49"/>
      <c r="J549" s="5">
        <f t="shared" si="127"/>
        <v>8435.2569999999996</v>
      </c>
      <c r="K549" s="5">
        <f t="shared" si="124"/>
        <v>1459.3870242214532</v>
      </c>
      <c r="L549" s="5">
        <f t="shared" si="125"/>
        <v>0.43025572411301383</v>
      </c>
      <c r="M549" s="5">
        <f t="shared" si="128"/>
        <v>0</v>
      </c>
      <c r="N549" s="5">
        <f t="shared" si="129"/>
        <v>7367.6</v>
      </c>
    </row>
    <row r="550" spans="1:14" ht="31.5" x14ac:dyDescent="0.25">
      <c r="A550" s="33" t="s">
        <v>777</v>
      </c>
      <c r="B550" s="34" t="s">
        <v>984</v>
      </c>
      <c r="C550" s="18" t="s">
        <v>835</v>
      </c>
      <c r="D550" s="32" t="s">
        <v>1709</v>
      </c>
      <c r="E550" s="5">
        <v>3.3660000000000001</v>
      </c>
      <c r="F550" s="5">
        <v>2.3E-2</v>
      </c>
      <c r="G550" s="5">
        <f t="shared" si="126"/>
        <v>3.3890000000000002</v>
      </c>
      <c r="H550" s="49">
        <v>5179.1530000000002</v>
      </c>
      <c r="I550" s="49"/>
      <c r="J550" s="5">
        <f t="shared" si="127"/>
        <v>5179.1530000000002</v>
      </c>
      <c r="K550" s="5">
        <f t="shared" si="124"/>
        <v>1528.2245500147535</v>
      </c>
      <c r="L550" s="5">
        <f t="shared" si="125"/>
        <v>0.45055036769609286</v>
      </c>
      <c r="M550" s="5">
        <f t="shared" si="128"/>
        <v>0</v>
      </c>
      <c r="N550" s="5">
        <f t="shared" si="129"/>
        <v>4133.2</v>
      </c>
    </row>
    <row r="551" spans="1:14" ht="31.5" x14ac:dyDescent="0.25">
      <c r="A551" s="33" t="s">
        <v>777</v>
      </c>
      <c r="B551" s="34" t="s">
        <v>985</v>
      </c>
      <c r="C551" s="18" t="s">
        <v>873</v>
      </c>
      <c r="D551" s="32" t="s">
        <v>1710</v>
      </c>
      <c r="E551" s="5">
        <v>4.7759999999999998</v>
      </c>
      <c r="F551" s="5">
        <v>2E-3</v>
      </c>
      <c r="G551" s="5">
        <f t="shared" si="126"/>
        <v>4.7779999999999996</v>
      </c>
      <c r="H551" s="49">
        <v>4438.0910000000003</v>
      </c>
      <c r="I551" s="49"/>
      <c r="J551" s="5">
        <f t="shared" si="127"/>
        <v>4438.0910000000003</v>
      </c>
      <c r="K551" s="5">
        <f t="shared" si="124"/>
        <v>928.85956467141079</v>
      </c>
      <c r="L551" s="5">
        <f t="shared" si="125"/>
        <v>0.27384589417615146</v>
      </c>
      <c r="M551" s="5">
        <f t="shared" si="128"/>
        <v>0</v>
      </c>
      <c r="N551" s="5">
        <f t="shared" si="129"/>
        <v>8118.2</v>
      </c>
    </row>
    <row r="552" spans="1:14" ht="15.75" x14ac:dyDescent="0.25">
      <c r="A552" s="33" t="s">
        <v>777</v>
      </c>
      <c r="B552" s="34" t="s">
        <v>985</v>
      </c>
      <c r="C552" s="18" t="s">
        <v>874</v>
      </c>
      <c r="D552" s="32" t="s">
        <v>1711</v>
      </c>
      <c r="E552" s="5">
        <v>18.215</v>
      </c>
      <c r="F552" s="5">
        <v>3.9E-2</v>
      </c>
      <c r="G552" s="5">
        <f t="shared" si="126"/>
        <v>18.254000000000001</v>
      </c>
      <c r="H552" s="49">
        <v>31395.384999999998</v>
      </c>
      <c r="I552" s="49"/>
      <c r="J552" s="5">
        <f t="shared" si="127"/>
        <v>31395.384999999998</v>
      </c>
      <c r="K552" s="5">
        <f t="shared" si="124"/>
        <v>1719.9181001424342</v>
      </c>
      <c r="L552" s="5">
        <f t="shared" si="125"/>
        <v>0.5070653605315123</v>
      </c>
      <c r="M552" s="5">
        <f t="shared" si="128"/>
        <v>0</v>
      </c>
      <c r="N552" s="5">
        <f t="shared" si="129"/>
        <v>19463.099999999999</v>
      </c>
    </row>
    <row r="553" spans="1:14" ht="31.5" x14ac:dyDescent="0.25">
      <c r="A553" s="33" t="s">
        <v>777</v>
      </c>
      <c r="B553" s="34" t="s">
        <v>984</v>
      </c>
      <c r="C553" s="18" t="s">
        <v>875</v>
      </c>
      <c r="D553" s="32" t="s">
        <v>1712</v>
      </c>
      <c r="E553" s="5">
        <v>8.2729999999999997</v>
      </c>
      <c r="F553" s="5">
        <v>6.0000000000000001E-3</v>
      </c>
      <c r="G553" s="5">
        <f t="shared" si="126"/>
        <v>8.2789999999999999</v>
      </c>
      <c r="H553" s="49">
        <v>5801.3310000000001</v>
      </c>
      <c r="I553" s="49"/>
      <c r="J553" s="5">
        <f t="shared" si="127"/>
        <v>5801.3310000000001</v>
      </c>
      <c r="K553" s="5">
        <f t="shared" si="124"/>
        <v>700.72846962193501</v>
      </c>
      <c r="L553" s="5">
        <f t="shared" si="125"/>
        <v>0.20658840328159586</v>
      </c>
      <c r="M553" s="5">
        <f t="shared" si="128"/>
        <v>0</v>
      </c>
      <c r="N553" s="5">
        <f t="shared" si="129"/>
        <v>15577.7</v>
      </c>
    </row>
    <row r="554" spans="1:14" ht="15.75" x14ac:dyDescent="0.25">
      <c r="A554" s="33" t="s">
        <v>777</v>
      </c>
      <c r="B554" s="34" t="s">
        <v>984</v>
      </c>
      <c r="C554" s="18" t="s">
        <v>876</v>
      </c>
      <c r="D554" s="32" t="s">
        <v>1713</v>
      </c>
      <c r="E554" s="5">
        <v>13.936999999999999</v>
      </c>
      <c r="F554" s="5">
        <v>1.2999999999999999E-2</v>
      </c>
      <c r="G554" s="5">
        <f t="shared" si="126"/>
        <v>13.95</v>
      </c>
      <c r="H554" s="49">
        <v>7858.1580000000004</v>
      </c>
      <c r="I554" s="49"/>
      <c r="J554" s="5">
        <f t="shared" si="127"/>
        <v>7858.1580000000004</v>
      </c>
      <c r="K554" s="5">
        <f t="shared" si="124"/>
        <v>563.30881720430114</v>
      </c>
      <c r="L554" s="5">
        <f t="shared" si="125"/>
        <v>0.16607441276571486</v>
      </c>
      <c r="M554" s="5">
        <f t="shared" si="128"/>
        <v>0</v>
      </c>
      <c r="N554" s="5">
        <f t="shared" si="129"/>
        <v>27781.8</v>
      </c>
    </row>
    <row r="555" spans="1:14" ht="31.5" x14ac:dyDescent="0.25">
      <c r="A555" s="33" t="s">
        <v>777</v>
      </c>
      <c r="B555" s="34" t="s">
        <v>986</v>
      </c>
      <c r="C555" s="30" t="s">
        <v>981</v>
      </c>
      <c r="D555" s="32" t="s">
        <v>2981</v>
      </c>
      <c r="E555" s="5">
        <v>74.497</v>
      </c>
      <c r="F555" s="5">
        <v>0.14799999999999999</v>
      </c>
      <c r="G555" s="5">
        <f t="shared" si="126"/>
        <v>74.644999999999996</v>
      </c>
      <c r="H555" s="49">
        <v>276664.68800000002</v>
      </c>
      <c r="I555" s="49">
        <f>(-30000)*0.6</f>
        <v>-18000</v>
      </c>
      <c r="J555" s="5">
        <f t="shared" si="127"/>
        <v>258664.68800000002</v>
      </c>
      <c r="K555" s="5">
        <f t="shared" si="124"/>
        <v>3465.2647598633539</v>
      </c>
      <c r="L555" s="5">
        <f t="shared" si="125"/>
        <v>1.0216275557840466</v>
      </c>
      <c r="M555" s="5">
        <f t="shared" si="128"/>
        <v>0</v>
      </c>
      <c r="N555" s="5">
        <f t="shared" si="129"/>
        <v>0</v>
      </c>
    </row>
    <row r="556" spans="1:14" ht="15.75" x14ac:dyDescent="0.25">
      <c r="A556" s="33" t="s">
        <v>777</v>
      </c>
      <c r="B556" s="34" t="s">
        <v>986</v>
      </c>
      <c r="C556" s="30" t="s">
        <v>991</v>
      </c>
      <c r="D556" s="32" t="s">
        <v>2982</v>
      </c>
      <c r="E556" s="5">
        <v>88.153999999999996</v>
      </c>
      <c r="F556" s="5">
        <v>0.182</v>
      </c>
      <c r="G556" s="5">
        <f t="shared" si="126"/>
        <v>88.335999999999999</v>
      </c>
      <c r="H556" s="49">
        <v>279795.89600000001</v>
      </c>
      <c r="I556" s="49">
        <f>(-98.4+772.786-59.9-30.6)*0.6</f>
        <v>350.33159999999998</v>
      </c>
      <c r="J556" s="5">
        <f t="shared" si="127"/>
        <v>280146.22759999998</v>
      </c>
      <c r="K556" s="5">
        <f t="shared" si="124"/>
        <v>3171.3709880456436</v>
      </c>
      <c r="L556" s="5">
        <f t="shared" si="125"/>
        <v>0.93498194669814183</v>
      </c>
      <c r="M556" s="5">
        <f t="shared" si="128"/>
        <v>0</v>
      </c>
      <c r="N556" s="5">
        <f t="shared" si="129"/>
        <v>0</v>
      </c>
    </row>
    <row r="557" spans="1:14" ht="15.75" x14ac:dyDescent="0.25">
      <c r="A557" s="33" t="s">
        <v>777</v>
      </c>
      <c r="B557" s="34" t="s">
        <v>983</v>
      </c>
      <c r="C557" s="30" t="s">
        <v>1024</v>
      </c>
      <c r="D557" s="32" t="s">
        <v>1870</v>
      </c>
      <c r="E557" s="5">
        <v>48.512</v>
      </c>
      <c r="F557" s="5">
        <v>0.10100000000000001</v>
      </c>
      <c r="G557" s="5">
        <f t="shared" si="126"/>
        <v>48.613</v>
      </c>
      <c r="H557" s="49">
        <v>158904.09099999999</v>
      </c>
      <c r="I557" s="49"/>
      <c r="J557" s="5">
        <f t="shared" si="127"/>
        <v>158904.09099999999</v>
      </c>
      <c r="K557" s="5">
        <f t="shared" si="124"/>
        <v>3268.7571431510087</v>
      </c>
      <c r="L557" s="5">
        <f t="shared" ref="L557:L588" si="130">K557/$K$1659</f>
        <v>0.96369328233975771</v>
      </c>
      <c r="M557" s="5">
        <f t="shared" si="128"/>
        <v>0</v>
      </c>
      <c r="N557" s="5">
        <f t="shared" si="129"/>
        <v>0</v>
      </c>
    </row>
    <row r="558" spans="1:14" ht="31.5" x14ac:dyDescent="0.25">
      <c r="A558" s="33" t="s">
        <v>777</v>
      </c>
      <c r="B558" s="34" t="s">
        <v>986</v>
      </c>
      <c r="C558" s="30" t="s">
        <v>1047</v>
      </c>
      <c r="D558" s="32" t="s">
        <v>2983</v>
      </c>
      <c r="E558" s="5">
        <v>287.53300000000002</v>
      </c>
      <c r="F558" s="5">
        <v>2.3639999999999999</v>
      </c>
      <c r="G558" s="5">
        <f t="shared" si="126"/>
        <v>289.89699999999999</v>
      </c>
      <c r="H558" s="49">
        <v>1227646.81</v>
      </c>
      <c r="I558" s="49">
        <f>(-338.1-1744.2-2205.9)*0.6</f>
        <v>-2572.9200000000005</v>
      </c>
      <c r="J558" s="5">
        <f t="shared" si="127"/>
        <v>1225073.8900000001</v>
      </c>
      <c r="K558" s="5">
        <f t="shared" si="124"/>
        <v>4225.893644984254</v>
      </c>
      <c r="L558" s="5">
        <f t="shared" si="130"/>
        <v>1.2458757684358994</v>
      </c>
      <c r="M558" s="5">
        <f t="shared" ref="M558:M587" si="131">ROUND(IF(L558&lt;110%,0,(K558-$K$1659*1.1)*0.5)*G558,1)</f>
        <v>71720.100000000006</v>
      </c>
      <c r="N558" s="5">
        <f t="shared" ref="N558:N587" si="132">ROUND(IF(L558&gt;90%,0,(-K558+$K$1659*0.9)*0.8)*G558,1)</f>
        <v>0</v>
      </c>
    </row>
    <row r="559" spans="1:14" ht="31.5" x14ac:dyDescent="0.25">
      <c r="A559" s="33" t="s">
        <v>777</v>
      </c>
      <c r="B559" s="34" t="s">
        <v>985</v>
      </c>
      <c r="C559" s="30" t="s">
        <v>1048</v>
      </c>
      <c r="D559" s="32" t="s">
        <v>2984</v>
      </c>
      <c r="E559" s="5">
        <v>7.1260000000000003</v>
      </c>
      <c r="F559" s="5">
        <v>8.9999999999999993E-3</v>
      </c>
      <c r="G559" s="5">
        <f t="shared" si="126"/>
        <v>7.1350000000000007</v>
      </c>
      <c r="H559" s="49">
        <v>5535.4430000000002</v>
      </c>
      <c r="I559" s="49"/>
      <c r="J559" s="5">
        <f t="shared" si="127"/>
        <v>5535.4430000000002</v>
      </c>
      <c r="K559" s="5">
        <f t="shared" si="124"/>
        <v>775.81541695865451</v>
      </c>
      <c r="L559" s="5">
        <f t="shared" si="130"/>
        <v>0.22872549807660456</v>
      </c>
      <c r="M559" s="5">
        <f t="shared" si="131"/>
        <v>0</v>
      </c>
      <c r="N559" s="5">
        <f t="shared" si="132"/>
        <v>12996.5</v>
      </c>
    </row>
    <row r="560" spans="1:14" ht="15.75" x14ac:dyDescent="0.25">
      <c r="A560" s="33" t="s">
        <v>777</v>
      </c>
      <c r="B560" s="34" t="s">
        <v>984</v>
      </c>
      <c r="C560" s="30" t="s">
        <v>2747</v>
      </c>
      <c r="D560" s="32" t="s">
        <v>1162</v>
      </c>
      <c r="E560" s="5">
        <v>6.9580000000000002</v>
      </c>
      <c r="F560" s="5">
        <v>0.01</v>
      </c>
      <c r="G560" s="5">
        <f t="shared" si="126"/>
        <v>6.968</v>
      </c>
      <c r="H560" s="49">
        <v>6668.0590000000002</v>
      </c>
      <c r="I560" s="49"/>
      <c r="J560" s="5">
        <f t="shared" si="127"/>
        <v>6668.0590000000002</v>
      </c>
      <c r="K560" s="5">
        <f t="shared" si="124"/>
        <v>956.95450631458095</v>
      </c>
      <c r="L560" s="5">
        <f t="shared" si="130"/>
        <v>0.28212883027190283</v>
      </c>
      <c r="M560" s="5">
        <f t="shared" si="131"/>
        <v>0</v>
      </c>
      <c r="N560" s="5">
        <f t="shared" si="132"/>
        <v>11682.6</v>
      </c>
    </row>
    <row r="561" spans="1:14" ht="31.5" x14ac:dyDescent="0.25">
      <c r="A561" s="33" t="s">
        <v>777</v>
      </c>
      <c r="B561" s="34" t="s">
        <v>985</v>
      </c>
      <c r="C561" s="30" t="s">
        <v>1049</v>
      </c>
      <c r="D561" s="32" t="s">
        <v>2985</v>
      </c>
      <c r="E561" s="5">
        <v>7.4909999999999997</v>
      </c>
      <c r="F561" s="5">
        <v>1.2E-2</v>
      </c>
      <c r="G561" s="5">
        <f t="shared" si="126"/>
        <v>7.5029999999999992</v>
      </c>
      <c r="H561" s="49">
        <v>6112.6689999999999</v>
      </c>
      <c r="I561" s="49"/>
      <c r="J561" s="5">
        <f t="shared" si="127"/>
        <v>6112.6689999999999</v>
      </c>
      <c r="K561" s="5">
        <f t="shared" si="124"/>
        <v>814.69665467146478</v>
      </c>
      <c r="L561" s="5">
        <f t="shared" si="130"/>
        <v>0.24018844437452705</v>
      </c>
      <c r="M561" s="5">
        <f t="shared" si="131"/>
        <v>0</v>
      </c>
      <c r="N561" s="5">
        <f t="shared" si="132"/>
        <v>13433.5</v>
      </c>
    </row>
    <row r="562" spans="1:14" ht="31.5" x14ac:dyDescent="0.25">
      <c r="A562" s="33" t="s">
        <v>777</v>
      </c>
      <c r="B562" s="34" t="s">
        <v>984</v>
      </c>
      <c r="C562" s="30" t="s">
        <v>1721</v>
      </c>
      <c r="D562" s="32" t="s">
        <v>2986</v>
      </c>
      <c r="E562" s="5">
        <v>20.847999999999999</v>
      </c>
      <c r="F562" s="5">
        <v>1.4999999999999999E-2</v>
      </c>
      <c r="G562" s="5">
        <f t="shared" si="126"/>
        <v>20.863</v>
      </c>
      <c r="H562" s="49">
        <v>26534.654999999999</v>
      </c>
      <c r="I562" s="49"/>
      <c r="J562" s="5">
        <f t="shared" ref="J562:J587" si="133">H562+I562</f>
        <v>26534.654999999999</v>
      </c>
      <c r="K562" s="5">
        <f t="shared" ref="K562:K588" si="134">J562/G562</f>
        <v>1271.8523222930546</v>
      </c>
      <c r="L562" s="5">
        <f t="shared" si="130"/>
        <v>0.37496684074256842</v>
      </c>
      <c r="M562" s="5">
        <f t="shared" si="131"/>
        <v>0</v>
      </c>
      <c r="N562" s="5">
        <f t="shared" si="132"/>
        <v>29723.3</v>
      </c>
    </row>
    <row r="563" spans="1:14" ht="31.5" x14ac:dyDescent="0.25">
      <c r="A563" s="33" t="s">
        <v>777</v>
      </c>
      <c r="B563" s="34" t="s">
        <v>984</v>
      </c>
      <c r="C563" s="30" t="s">
        <v>1050</v>
      </c>
      <c r="D563" s="32" t="s">
        <v>2987</v>
      </c>
      <c r="E563" s="5">
        <v>4.9279999999999999</v>
      </c>
      <c r="F563" s="5">
        <v>7.0000000000000001E-3</v>
      </c>
      <c r="G563" s="5">
        <f t="shared" si="126"/>
        <v>4.9349999999999996</v>
      </c>
      <c r="H563" s="49">
        <v>6569.7920000000004</v>
      </c>
      <c r="I563" s="49"/>
      <c r="J563" s="5">
        <f t="shared" si="133"/>
        <v>6569.7920000000004</v>
      </c>
      <c r="K563" s="5">
        <f t="shared" si="134"/>
        <v>1331.2648429584601</v>
      </c>
      <c r="L563" s="5">
        <f t="shared" si="130"/>
        <v>0.39248280921152917</v>
      </c>
      <c r="M563" s="5">
        <f t="shared" si="131"/>
        <v>0</v>
      </c>
      <c r="N563" s="5">
        <f t="shared" si="132"/>
        <v>6796.3</v>
      </c>
    </row>
    <row r="564" spans="1:14" s="13" customFormat="1" ht="31.5" x14ac:dyDescent="0.25">
      <c r="A564" s="33" t="s">
        <v>777</v>
      </c>
      <c r="B564" s="34" t="s">
        <v>985</v>
      </c>
      <c r="C564" s="30" t="s">
        <v>1723</v>
      </c>
      <c r="D564" s="80" t="s">
        <v>1724</v>
      </c>
      <c r="E564" s="84">
        <v>28.358000000000001</v>
      </c>
      <c r="F564" s="84">
        <v>4.3999999999999997E-2</v>
      </c>
      <c r="G564" s="84">
        <f t="shared" si="126"/>
        <v>28.402000000000001</v>
      </c>
      <c r="H564" s="84">
        <v>66995.256999999998</v>
      </c>
      <c r="I564" s="84"/>
      <c r="J564" s="5">
        <f t="shared" si="133"/>
        <v>66995.256999999998</v>
      </c>
      <c r="K564" s="5">
        <f t="shared" si="134"/>
        <v>2358.8218083233573</v>
      </c>
      <c r="L564" s="5">
        <f t="shared" si="130"/>
        <v>0.69542661977219988</v>
      </c>
      <c r="M564" s="5">
        <f t="shared" si="131"/>
        <v>0</v>
      </c>
      <c r="N564" s="5">
        <f t="shared" si="132"/>
        <v>15766.4</v>
      </c>
    </row>
    <row r="565" spans="1:14" s="13" customFormat="1" ht="15.75" x14ac:dyDescent="0.25">
      <c r="A565" s="33" t="s">
        <v>777</v>
      </c>
      <c r="B565" s="34" t="s">
        <v>986</v>
      </c>
      <c r="C565" s="30" t="s">
        <v>1725</v>
      </c>
      <c r="D565" s="80" t="s">
        <v>1726</v>
      </c>
      <c r="E565" s="84">
        <v>19.666</v>
      </c>
      <c r="F565" s="84">
        <v>0.02</v>
      </c>
      <c r="G565" s="84">
        <f t="shared" ref="G565:G587" si="135">F565+E565</f>
        <v>19.686</v>
      </c>
      <c r="H565" s="84">
        <v>29311.37</v>
      </c>
      <c r="I565" s="84"/>
      <c r="J565" s="5">
        <f t="shared" si="133"/>
        <v>29311.37</v>
      </c>
      <c r="K565" s="5">
        <f t="shared" si="134"/>
        <v>1488.9449354871481</v>
      </c>
      <c r="L565" s="5">
        <f t="shared" si="130"/>
        <v>0.43896997215264832</v>
      </c>
      <c r="M565" s="5">
        <f t="shared" si="131"/>
        <v>0</v>
      </c>
      <c r="N565" s="5">
        <f t="shared" si="132"/>
        <v>24627.5</v>
      </c>
    </row>
    <row r="566" spans="1:14" s="13" customFormat="1" ht="31.5" x14ac:dyDescent="0.25">
      <c r="A566" s="33" t="s">
        <v>777</v>
      </c>
      <c r="B566" s="34" t="s">
        <v>986</v>
      </c>
      <c r="C566" s="30" t="s">
        <v>1727</v>
      </c>
      <c r="D566" s="80" t="s">
        <v>1728</v>
      </c>
      <c r="E566" s="84">
        <v>24.195</v>
      </c>
      <c r="F566" s="84">
        <v>4.4999999999999998E-2</v>
      </c>
      <c r="G566" s="84">
        <f t="shared" si="135"/>
        <v>24.240000000000002</v>
      </c>
      <c r="H566" s="84">
        <v>77269.233999999997</v>
      </c>
      <c r="I566" s="84"/>
      <c r="J566" s="5">
        <f t="shared" si="133"/>
        <v>77269.233999999997</v>
      </c>
      <c r="K566" s="5">
        <f t="shared" si="134"/>
        <v>3187.6746699669961</v>
      </c>
      <c r="L566" s="5">
        <f t="shared" si="130"/>
        <v>0.93978858973001478</v>
      </c>
      <c r="M566" s="5">
        <f t="shared" si="131"/>
        <v>0</v>
      </c>
      <c r="N566" s="5">
        <f t="shared" si="132"/>
        <v>0</v>
      </c>
    </row>
    <row r="567" spans="1:14" s="13" customFormat="1" ht="31.5" x14ac:dyDescent="0.25">
      <c r="A567" s="33" t="s">
        <v>777</v>
      </c>
      <c r="B567" s="34" t="s">
        <v>985</v>
      </c>
      <c r="C567" s="30" t="s">
        <v>1729</v>
      </c>
      <c r="D567" s="80" t="s">
        <v>1730</v>
      </c>
      <c r="E567" s="84">
        <v>19.844999999999999</v>
      </c>
      <c r="F567" s="84">
        <v>2.1000000000000001E-2</v>
      </c>
      <c r="G567" s="84">
        <f t="shared" si="135"/>
        <v>19.866</v>
      </c>
      <c r="H567" s="84">
        <v>29987.064999999999</v>
      </c>
      <c r="I567" s="84"/>
      <c r="J567" s="5">
        <f t="shared" si="133"/>
        <v>29987.064999999999</v>
      </c>
      <c r="K567" s="5">
        <f t="shared" si="134"/>
        <v>1509.4666767341187</v>
      </c>
      <c r="L567" s="5">
        <f t="shared" si="130"/>
        <v>0.44502018124299264</v>
      </c>
      <c r="M567" s="5">
        <f t="shared" si="131"/>
        <v>0</v>
      </c>
      <c r="N567" s="5">
        <f t="shared" si="132"/>
        <v>24526.5</v>
      </c>
    </row>
    <row r="568" spans="1:14" s="13" customFormat="1" ht="31.5" x14ac:dyDescent="0.25">
      <c r="A568" s="33" t="s">
        <v>777</v>
      </c>
      <c r="B568" s="34" t="s">
        <v>985</v>
      </c>
      <c r="C568" s="30" t="s">
        <v>1731</v>
      </c>
      <c r="D568" s="80" t="s">
        <v>2828</v>
      </c>
      <c r="E568" s="84">
        <v>6.0030000000000001</v>
      </c>
      <c r="F568" s="84">
        <v>3.9E-2</v>
      </c>
      <c r="G568" s="84">
        <f t="shared" si="135"/>
        <v>6.0419999999999998</v>
      </c>
      <c r="H568" s="84">
        <v>10947.749</v>
      </c>
      <c r="I568" s="84"/>
      <c r="J568" s="5">
        <f t="shared" si="133"/>
        <v>10947.749</v>
      </c>
      <c r="K568" s="5">
        <f t="shared" si="134"/>
        <v>1811.9412446209865</v>
      </c>
      <c r="L568" s="5">
        <f t="shared" si="130"/>
        <v>0.53419557616701052</v>
      </c>
      <c r="M568" s="5">
        <f t="shared" si="131"/>
        <v>0</v>
      </c>
      <c r="N568" s="5">
        <f t="shared" si="132"/>
        <v>5997.4</v>
      </c>
    </row>
    <row r="569" spans="1:14" s="13" customFormat="1" ht="15.75" x14ac:dyDescent="0.25">
      <c r="A569" s="33" t="s">
        <v>777</v>
      </c>
      <c r="B569" s="34" t="s">
        <v>983</v>
      </c>
      <c r="C569" s="30" t="s">
        <v>1732</v>
      </c>
      <c r="D569" s="80" t="s">
        <v>1733</v>
      </c>
      <c r="E569" s="84">
        <v>19.631</v>
      </c>
      <c r="F569" s="84">
        <v>5.2999999999999999E-2</v>
      </c>
      <c r="G569" s="84">
        <f t="shared" si="135"/>
        <v>19.684000000000001</v>
      </c>
      <c r="H569" s="84">
        <v>40343.383999999998</v>
      </c>
      <c r="I569" s="84"/>
      <c r="J569" s="5">
        <f t="shared" si="133"/>
        <v>40343.383999999998</v>
      </c>
      <c r="K569" s="5">
        <f t="shared" si="134"/>
        <v>2049.5521235521232</v>
      </c>
      <c r="L569" s="5">
        <f t="shared" si="130"/>
        <v>0.60424789201940399</v>
      </c>
      <c r="M569" s="5">
        <f t="shared" si="131"/>
        <v>0</v>
      </c>
      <c r="N569" s="5">
        <f t="shared" si="132"/>
        <v>15797</v>
      </c>
    </row>
    <row r="570" spans="1:14" s="13" customFormat="1" ht="31.5" x14ac:dyDescent="0.25">
      <c r="A570" s="33" t="s">
        <v>777</v>
      </c>
      <c r="B570" s="34" t="s">
        <v>983</v>
      </c>
      <c r="C570" s="30" t="s">
        <v>1734</v>
      </c>
      <c r="D570" s="80" t="s">
        <v>1735</v>
      </c>
      <c r="E570" s="84">
        <v>44.191000000000003</v>
      </c>
      <c r="F570" s="84">
        <v>9.2999999999999999E-2</v>
      </c>
      <c r="G570" s="84">
        <f t="shared" si="135"/>
        <v>44.284000000000006</v>
      </c>
      <c r="H570" s="84">
        <v>70222.543999999994</v>
      </c>
      <c r="I570" s="84">
        <f>(553.34)*0.6</f>
        <v>332.00400000000002</v>
      </c>
      <c r="J570" s="5">
        <f t="shared" si="133"/>
        <v>70554.547999999995</v>
      </c>
      <c r="K570" s="5">
        <f t="shared" si="134"/>
        <v>1593.2288862794685</v>
      </c>
      <c r="L570" s="5">
        <f t="shared" si="130"/>
        <v>0.46971491233426471</v>
      </c>
      <c r="M570" s="5">
        <f t="shared" si="131"/>
        <v>0</v>
      </c>
      <c r="N570" s="5">
        <f t="shared" si="132"/>
        <v>51705.5</v>
      </c>
    </row>
    <row r="571" spans="1:14" s="13" customFormat="1" ht="31.5" x14ac:dyDescent="0.25">
      <c r="A571" s="33" t="s">
        <v>777</v>
      </c>
      <c r="B571" s="34" t="s">
        <v>984</v>
      </c>
      <c r="C571" s="30" t="s">
        <v>1736</v>
      </c>
      <c r="D571" s="80" t="s">
        <v>1737</v>
      </c>
      <c r="E571" s="84">
        <v>7.3109999999999999</v>
      </c>
      <c r="F571" s="84">
        <v>1.2E-2</v>
      </c>
      <c r="G571" s="84">
        <f t="shared" si="135"/>
        <v>7.3229999999999995</v>
      </c>
      <c r="H571" s="84">
        <v>17644.221000000001</v>
      </c>
      <c r="I571" s="84"/>
      <c r="J571" s="5">
        <f t="shared" si="133"/>
        <v>17644.221000000001</v>
      </c>
      <c r="K571" s="5">
        <f t="shared" si="134"/>
        <v>2409.4252355591975</v>
      </c>
      <c r="L571" s="5">
        <f t="shared" si="130"/>
        <v>0.71034549589388651</v>
      </c>
      <c r="M571" s="5">
        <f t="shared" si="131"/>
        <v>0</v>
      </c>
      <c r="N571" s="5">
        <f t="shared" si="132"/>
        <v>3768.7</v>
      </c>
    </row>
    <row r="572" spans="1:14" s="13" customFormat="1" ht="15.75" x14ac:dyDescent="0.25">
      <c r="A572" s="33" t="s">
        <v>777</v>
      </c>
      <c r="B572" s="34" t="s">
        <v>984</v>
      </c>
      <c r="C572" s="30" t="s">
        <v>1738</v>
      </c>
      <c r="D572" s="80" t="s">
        <v>1739</v>
      </c>
      <c r="E572" s="84">
        <v>1.915</v>
      </c>
      <c r="F572" s="84">
        <v>6.0000000000000001E-3</v>
      </c>
      <c r="G572" s="84">
        <f t="shared" si="135"/>
        <v>1.921</v>
      </c>
      <c r="H572" s="84">
        <v>1488.326</v>
      </c>
      <c r="I572" s="84">
        <f>(135.86)*0.6</f>
        <v>81.516000000000005</v>
      </c>
      <c r="J572" s="5">
        <f t="shared" si="133"/>
        <v>1569.8420000000001</v>
      </c>
      <c r="K572" s="5">
        <f t="shared" si="134"/>
        <v>817.20041644976573</v>
      </c>
      <c r="L572" s="5">
        <f t="shared" si="130"/>
        <v>0.24092660212093023</v>
      </c>
      <c r="M572" s="5">
        <f t="shared" si="131"/>
        <v>0</v>
      </c>
      <c r="N572" s="5">
        <f t="shared" si="132"/>
        <v>3435.5</v>
      </c>
    </row>
    <row r="573" spans="1:14" s="13" customFormat="1" ht="15.75" x14ac:dyDescent="0.25">
      <c r="A573" s="33" t="s">
        <v>777</v>
      </c>
      <c r="B573" s="34" t="s">
        <v>983</v>
      </c>
      <c r="C573" s="30" t="s">
        <v>1740</v>
      </c>
      <c r="D573" s="80" t="s">
        <v>1741</v>
      </c>
      <c r="E573" s="84">
        <v>32.6</v>
      </c>
      <c r="F573" s="84">
        <v>1.7000000000000001E-2</v>
      </c>
      <c r="G573" s="84">
        <f t="shared" si="135"/>
        <v>32.617000000000004</v>
      </c>
      <c r="H573" s="84">
        <v>56552.883999999998</v>
      </c>
      <c r="I573" s="84"/>
      <c r="J573" s="5">
        <f t="shared" si="133"/>
        <v>56552.883999999998</v>
      </c>
      <c r="K573" s="5">
        <f t="shared" si="134"/>
        <v>1733.8468896587667</v>
      </c>
      <c r="L573" s="5">
        <f t="shared" si="130"/>
        <v>0.51117183901864593</v>
      </c>
      <c r="M573" s="5">
        <f t="shared" si="131"/>
        <v>0</v>
      </c>
      <c r="N573" s="5">
        <f t="shared" si="132"/>
        <v>34414</v>
      </c>
    </row>
    <row r="574" spans="1:14" s="13" customFormat="1" ht="15.75" x14ac:dyDescent="0.25">
      <c r="A574" s="33" t="s">
        <v>777</v>
      </c>
      <c r="B574" s="34" t="s">
        <v>985</v>
      </c>
      <c r="C574" s="30" t="s">
        <v>1742</v>
      </c>
      <c r="D574" s="80" t="s">
        <v>1743</v>
      </c>
      <c r="E574" s="84">
        <v>15.917</v>
      </c>
      <c r="F574" s="84">
        <v>1.4E-2</v>
      </c>
      <c r="G574" s="84">
        <f t="shared" si="135"/>
        <v>15.930999999999999</v>
      </c>
      <c r="H574" s="84">
        <v>9451.9789999999994</v>
      </c>
      <c r="I574" s="84"/>
      <c r="J574" s="5">
        <f t="shared" si="133"/>
        <v>9451.9789999999994</v>
      </c>
      <c r="K574" s="5">
        <f t="shared" si="134"/>
        <v>593.30732534053107</v>
      </c>
      <c r="L574" s="5">
        <f t="shared" si="130"/>
        <v>0.17491855734576506</v>
      </c>
      <c r="M574" s="5">
        <f t="shared" si="131"/>
        <v>0</v>
      </c>
      <c r="N574" s="5">
        <f t="shared" si="132"/>
        <v>31344.7</v>
      </c>
    </row>
    <row r="575" spans="1:14" s="13" customFormat="1" ht="15.75" x14ac:dyDescent="0.25">
      <c r="A575" s="33" t="s">
        <v>777</v>
      </c>
      <c r="B575" s="34" t="s">
        <v>985</v>
      </c>
      <c r="C575" s="30" t="s">
        <v>1744</v>
      </c>
      <c r="D575" s="80" t="s">
        <v>1745</v>
      </c>
      <c r="E575" s="84">
        <v>7.3470000000000004</v>
      </c>
      <c r="F575" s="84">
        <v>1.2999999999999999E-2</v>
      </c>
      <c r="G575" s="84">
        <f t="shared" si="135"/>
        <v>7.36</v>
      </c>
      <c r="H575" s="84">
        <v>12773.725</v>
      </c>
      <c r="I575" s="84"/>
      <c r="J575" s="5">
        <f t="shared" si="133"/>
        <v>12773.725</v>
      </c>
      <c r="K575" s="5">
        <f t="shared" si="134"/>
        <v>1735.5604619565217</v>
      </c>
      <c r="L575" s="5">
        <f t="shared" si="130"/>
        <v>0.51167703351301519</v>
      </c>
      <c r="M575" s="5">
        <f t="shared" si="131"/>
        <v>0</v>
      </c>
      <c r="N575" s="5">
        <f t="shared" si="132"/>
        <v>7755.4</v>
      </c>
    </row>
    <row r="576" spans="1:14" s="13" customFormat="1" ht="31.5" x14ac:dyDescent="0.25">
      <c r="A576" s="33" t="s">
        <v>777</v>
      </c>
      <c r="B576" s="34" t="s">
        <v>983</v>
      </c>
      <c r="C576" s="30" t="s">
        <v>1746</v>
      </c>
      <c r="D576" s="80" t="s">
        <v>1747</v>
      </c>
      <c r="E576" s="84">
        <v>43.064999999999998</v>
      </c>
      <c r="F576" s="84">
        <v>5.6000000000000001E-2</v>
      </c>
      <c r="G576" s="84">
        <f t="shared" si="135"/>
        <v>43.120999999999995</v>
      </c>
      <c r="H576" s="84">
        <v>157416.16500000001</v>
      </c>
      <c r="I576" s="84"/>
      <c r="J576" s="5">
        <f t="shared" si="133"/>
        <v>157416.16500000001</v>
      </c>
      <c r="K576" s="5">
        <f t="shared" si="134"/>
        <v>3650.5685165000818</v>
      </c>
      <c r="L576" s="5">
        <f t="shared" si="130"/>
        <v>1.0762587130229084</v>
      </c>
      <c r="M576" s="5">
        <f t="shared" si="131"/>
        <v>0</v>
      </c>
      <c r="N576" s="5">
        <f t="shared" si="132"/>
        <v>0</v>
      </c>
    </row>
    <row r="577" spans="1:14" s="12" customFormat="1" ht="31.5" x14ac:dyDescent="0.25">
      <c r="A577" s="33" t="s">
        <v>777</v>
      </c>
      <c r="B577" s="34" t="s">
        <v>985</v>
      </c>
      <c r="C577" s="30" t="s">
        <v>1748</v>
      </c>
      <c r="D577" s="80" t="s">
        <v>1749</v>
      </c>
      <c r="E577" s="84">
        <v>8.9139999999999997</v>
      </c>
      <c r="F577" s="84">
        <v>1E-3</v>
      </c>
      <c r="G577" s="84">
        <f t="shared" si="135"/>
        <v>8.9149999999999991</v>
      </c>
      <c r="H577" s="84">
        <v>13733.528</v>
      </c>
      <c r="I577" s="84">
        <f>(-6303.7-1886.7)*0.6</f>
        <v>-4914.24</v>
      </c>
      <c r="J577" s="5">
        <f t="shared" si="133"/>
        <v>8819.2880000000005</v>
      </c>
      <c r="K577" s="5">
        <f t="shared" si="134"/>
        <v>989.26393718452061</v>
      </c>
      <c r="L577" s="5">
        <f t="shared" si="130"/>
        <v>0.29165427989143833</v>
      </c>
      <c r="M577" s="5">
        <f t="shared" si="131"/>
        <v>0</v>
      </c>
      <c r="N577" s="5">
        <f t="shared" si="132"/>
        <v>14716.5</v>
      </c>
    </row>
    <row r="578" spans="1:14" ht="31.5" x14ac:dyDescent="0.25">
      <c r="A578" s="33" t="s">
        <v>777</v>
      </c>
      <c r="B578" s="34" t="s">
        <v>985</v>
      </c>
      <c r="C578" s="30" t="s">
        <v>1750</v>
      </c>
      <c r="D578" s="80" t="s">
        <v>1751</v>
      </c>
      <c r="E578" s="84">
        <v>20.097999999999999</v>
      </c>
      <c r="F578" s="84">
        <v>5.0000000000000001E-3</v>
      </c>
      <c r="G578" s="84">
        <f t="shared" si="135"/>
        <v>20.102999999999998</v>
      </c>
      <c r="H578" s="84">
        <v>12575.075000000001</v>
      </c>
      <c r="I578" s="84"/>
      <c r="J578" s="5">
        <f t="shared" si="133"/>
        <v>12575.075000000001</v>
      </c>
      <c r="K578" s="5">
        <f t="shared" si="134"/>
        <v>625.53225886683595</v>
      </c>
      <c r="L578" s="5">
        <f t="shared" si="130"/>
        <v>0.18441909550235902</v>
      </c>
      <c r="M578" s="5">
        <f t="shared" si="131"/>
        <v>0</v>
      </c>
      <c r="N578" s="5">
        <f t="shared" si="132"/>
        <v>39034.9</v>
      </c>
    </row>
    <row r="579" spans="1:14" ht="31.5" x14ac:dyDescent="0.25">
      <c r="A579" s="33" t="s">
        <v>777</v>
      </c>
      <c r="B579" s="34" t="s">
        <v>985</v>
      </c>
      <c r="C579" s="30" t="s">
        <v>1752</v>
      </c>
      <c r="D579" s="80" t="s">
        <v>1753</v>
      </c>
      <c r="E579" s="84">
        <v>23.795000000000002</v>
      </c>
      <c r="F579" s="84">
        <v>1.7000000000000001E-2</v>
      </c>
      <c r="G579" s="84">
        <f t="shared" si="135"/>
        <v>23.812000000000001</v>
      </c>
      <c r="H579" s="84">
        <v>20472.376</v>
      </c>
      <c r="I579" s="84"/>
      <c r="J579" s="5">
        <f t="shared" si="133"/>
        <v>20472.376</v>
      </c>
      <c r="K579" s="5">
        <f t="shared" si="134"/>
        <v>859.75037796069205</v>
      </c>
      <c r="L579" s="5">
        <f t="shared" si="130"/>
        <v>0.25347115966256728</v>
      </c>
      <c r="M579" s="5">
        <f t="shared" si="131"/>
        <v>0</v>
      </c>
      <c r="N579" s="5">
        <f t="shared" si="132"/>
        <v>41775.1</v>
      </c>
    </row>
    <row r="580" spans="1:14" ht="31.5" x14ac:dyDescent="0.25">
      <c r="A580" s="33" t="s">
        <v>777</v>
      </c>
      <c r="B580" s="34" t="s">
        <v>984</v>
      </c>
      <c r="C580" s="30" t="s">
        <v>1754</v>
      </c>
      <c r="D580" s="80" t="s">
        <v>1755</v>
      </c>
      <c r="E580" s="84">
        <v>4.76</v>
      </c>
      <c r="F580" s="84">
        <v>2.3E-2</v>
      </c>
      <c r="G580" s="84">
        <f t="shared" si="135"/>
        <v>4.7829999999999995</v>
      </c>
      <c r="H580" s="84">
        <v>18320.095000000001</v>
      </c>
      <c r="I580" s="84"/>
      <c r="J580" s="5">
        <f t="shared" si="133"/>
        <v>18320.095000000001</v>
      </c>
      <c r="K580" s="5">
        <f t="shared" si="134"/>
        <v>3830.2519339326791</v>
      </c>
      <c r="L580" s="5">
        <f t="shared" si="130"/>
        <v>1.1292328847782083</v>
      </c>
      <c r="M580" s="5">
        <f t="shared" si="131"/>
        <v>237.1</v>
      </c>
      <c r="N580" s="5">
        <f t="shared" si="132"/>
        <v>0</v>
      </c>
    </row>
    <row r="581" spans="1:14" ht="15.75" x14ac:dyDescent="0.25">
      <c r="A581" s="33" t="s">
        <v>777</v>
      </c>
      <c r="B581" s="34" t="s">
        <v>983</v>
      </c>
      <c r="C581" s="30" t="s">
        <v>1756</v>
      </c>
      <c r="D581" s="80" t="s">
        <v>1757</v>
      </c>
      <c r="E581" s="84">
        <v>31.498999999999999</v>
      </c>
      <c r="F581" s="84">
        <v>2.9000000000000001E-2</v>
      </c>
      <c r="G581" s="84">
        <f t="shared" si="135"/>
        <v>31.527999999999999</v>
      </c>
      <c r="H581" s="84">
        <v>68099.048999999999</v>
      </c>
      <c r="I581" s="84"/>
      <c r="J581" s="5">
        <f t="shared" si="133"/>
        <v>68099.048999999999</v>
      </c>
      <c r="K581" s="5">
        <f t="shared" si="134"/>
        <v>2159.9546117736618</v>
      </c>
      <c r="L581" s="5">
        <f t="shared" si="130"/>
        <v>0.63679669622641499</v>
      </c>
      <c r="M581" s="5">
        <f t="shared" si="131"/>
        <v>0</v>
      </c>
      <c r="N581" s="5">
        <f t="shared" si="132"/>
        <v>22517.599999999999</v>
      </c>
    </row>
    <row r="582" spans="1:14" ht="31.5" x14ac:dyDescent="0.25">
      <c r="A582" s="33" t="s">
        <v>777</v>
      </c>
      <c r="B582" s="34" t="s">
        <v>985</v>
      </c>
      <c r="C582" s="30" t="s">
        <v>1758</v>
      </c>
      <c r="D582" s="80" t="s">
        <v>1759</v>
      </c>
      <c r="E582" s="84">
        <v>20.161999999999999</v>
      </c>
      <c r="F582" s="84">
        <v>0.04</v>
      </c>
      <c r="G582" s="84">
        <f t="shared" si="135"/>
        <v>20.201999999999998</v>
      </c>
      <c r="H582" s="84">
        <v>34423.364999999998</v>
      </c>
      <c r="I582" s="84">
        <f>(-772.786)*0.6</f>
        <v>-463.67159999999996</v>
      </c>
      <c r="J582" s="5">
        <f t="shared" si="133"/>
        <v>33959.693399999996</v>
      </c>
      <c r="K582" s="5">
        <f t="shared" si="134"/>
        <v>1681.0065043065042</v>
      </c>
      <c r="L582" s="5">
        <f t="shared" si="130"/>
        <v>0.49559346406750726</v>
      </c>
      <c r="M582" s="5">
        <f t="shared" si="131"/>
        <v>0</v>
      </c>
      <c r="N582" s="5">
        <f t="shared" si="132"/>
        <v>22169</v>
      </c>
    </row>
    <row r="583" spans="1:14" ht="15.75" x14ac:dyDescent="0.25">
      <c r="A583" s="33" t="s">
        <v>777</v>
      </c>
      <c r="B583" s="34" t="s">
        <v>983</v>
      </c>
      <c r="C583" s="30" t="s">
        <v>1760</v>
      </c>
      <c r="D583" s="80" t="s">
        <v>1761</v>
      </c>
      <c r="E583" s="84">
        <v>40.954000000000001</v>
      </c>
      <c r="F583" s="84">
        <v>4.4999999999999998E-2</v>
      </c>
      <c r="G583" s="84">
        <f t="shared" si="135"/>
        <v>40.999000000000002</v>
      </c>
      <c r="H583" s="84">
        <v>66939.395999999993</v>
      </c>
      <c r="I583" s="84">
        <f>(-245.71-135.86-17.86-553.34)*0.6</f>
        <v>-571.66200000000003</v>
      </c>
      <c r="J583" s="5">
        <f t="shared" si="133"/>
        <v>66367.733999999997</v>
      </c>
      <c r="K583" s="5">
        <f t="shared" si="134"/>
        <v>1618.7647015780872</v>
      </c>
      <c r="L583" s="5">
        <f t="shared" si="130"/>
        <v>0.47724336813096097</v>
      </c>
      <c r="M583" s="5">
        <f t="shared" si="131"/>
        <v>0</v>
      </c>
      <c r="N583" s="5">
        <f t="shared" si="132"/>
        <v>47032.4</v>
      </c>
    </row>
    <row r="584" spans="1:14" ht="31.5" x14ac:dyDescent="0.25">
      <c r="A584" s="33" t="s">
        <v>777</v>
      </c>
      <c r="B584" s="34" t="s">
        <v>985</v>
      </c>
      <c r="C584" s="30" t="s">
        <v>1762</v>
      </c>
      <c r="D584" s="80" t="s">
        <v>1577</v>
      </c>
      <c r="E584" s="84">
        <v>26.033000000000001</v>
      </c>
      <c r="F584" s="84">
        <v>0.02</v>
      </c>
      <c r="G584" s="84">
        <f t="shared" si="135"/>
        <v>26.053000000000001</v>
      </c>
      <c r="H584" s="84">
        <v>18592.646000000001</v>
      </c>
      <c r="I584" s="84"/>
      <c r="J584" s="5">
        <f t="shared" si="133"/>
        <v>18592.646000000001</v>
      </c>
      <c r="K584" s="5">
        <f t="shared" si="134"/>
        <v>713.64702721375659</v>
      </c>
      <c r="L584" s="5">
        <f t="shared" si="130"/>
        <v>0.21039704571771048</v>
      </c>
      <c r="M584" s="5">
        <f t="shared" si="131"/>
        <v>0</v>
      </c>
      <c r="N584" s="5">
        <f t="shared" si="132"/>
        <v>48751.8</v>
      </c>
    </row>
    <row r="585" spans="1:14" ht="31.5" x14ac:dyDescent="0.25">
      <c r="A585" s="33" t="s">
        <v>777</v>
      </c>
      <c r="B585" s="34" t="s">
        <v>983</v>
      </c>
      <c r="C585" s="30" t="s">
        <v>1763</v>
      </c>
      <c r="D585" s="80" t="s">
        <v>1764</v>
      </c>
      <c r="E585" s="84">
        <v>28.504999999999999</v>
      </c>
      <c r="F585" s="84">
        <v>4.2999999999999997E-2</v>
      </c>
      <c r="G585" s="84">
        <f t="shared" si="135"/>
        <v>28.547999999999998</v>
      </c>
      <c r="H585" s="84">
        <v>39445.517</v>
      </c>
      <c r="I585" s="84"/>
      <c r="J585" s="5">
        <f t="shared" si="133"/>
        <v>39445.517</v>
      </c>
      <c r="K585" s="5">
        <f t="shared" si="134"/>
        <v>1381.7261104105366</v>
      </c>
      <c r="L585" s="5">
        <f t="shared" si="130"/>
        <v>0.40735977385963962</v>
      </c>
      <c r="M585" s="5">
        <f t="shared" si="131"/>
        <v>0</v>
      </c>
      <c r="N585" s="5">
        <f t="shared" si="132"/>
        <v>38162.699999999997</v>
      </c>
    </row>
    <row r="586" spans="1:14" ht="31.5" x14ac:dyDescent="0.25">
      <c r="A586" s="33" t="s">
        <v>777</v>
      </c>
      <c r="B586" s="34" t="s">
        <v>985</v>
      </c>
      <c r="C586" s="30" t="s">
        <v>1765</v>
      </c>
      <c r="D586" s="80" t="s">
        <v>1766</v>
      </c>
      <c r="E586" s="84">
        <v>6.54</v>
      </c>
      <c r="F586" s="84">
        <v>1.2E-2</v>
      </c>
      <c r="G586" s="84">
        <f t="shared" si="135"/>
        <v>6.5519999999999996</v>
      </c>
      <c r="H586" s="84">
        <v>7696.48</v>
      </c>
      <c r="I586" s="84"/>
      <c r="J586" s="5">
        <f t="shared" si="133"/>
        <v>7696.48</v>
      </c>
      <c r="K586" s="5">
        <f t="shared" si="134"/>
        <v>1174.6764346764346</v>
      </c>
      <c r="L586" s="5">
        <f t="shared" si="130"/>
        <v>0.34631749605271922</v>
      </c>
      <c r="M586" s="5">
        <f t="shared" si="131"/>
        <v>0</v>
      </c>
      <c r="N586" s="5">
        <f t="shared" si="132"/>
        <v>9843.9</v>
      </c>
    </row>
    <row r="587" spans="1:14" ht="31.5" x14ac:dyDescent="0.25">
      <c r="A587" s="33" t="s">
        <v>777</v>
      </c>
      <c r="B587" s="34" t="s">
        <v>986</v>
      </c>
      <c r="C587" s="30" t="s">
        <v>1767</v>
      </c>
      <c r="D587" s="80" t="s">
        <v>1768</v>
      </c>
      <c r="E587" s="84">
        <v>13.673999999999999</v>
      </c>
      <c r="F587" s="84">
        <v>5.5E-2</v>
      </c>
      <c r="G587" s="84">
        <f t="shared" si="135"/>
        <v>13.728999999999999</v>
      </c>
      <c r="H587" s="84">
        <v>36460.697</v>
      </c>
      <c r="I587" s="84"/>
      <c r="J587" s="5">
        <f t="shared" si="133"/>
        <v>36460.697</v>
      </c>
      <c r="K587" s="5">
        <f t="shared" si="134"/>
        <v>2655.7430985505139</v>
      </c>
      <c r="L587" s="5">
        <f t="shared" si="130"/>
        <v>0.78296480026233284</v>
      </c>
      <c r="M587" s="5">
        <f t="shared" si="131"/>
        <v>0</v>
      </c>
      <c r="N587" s="5">
        <f t="shared" si="132"/>
        <v>4360</v>
      </c>
    </row>
    <row r="588" spans="1:14" ht="15.75" x14ac:dyDescent="0.25">
      <c r="A588" s="36">
        <v>10</v>
      </c>
      <c r="B588" s="17" t="s">
        <v>7</v>
      </c>
      <c r="C588" s="17" t="s">
        <v>781</v>
      </c>
      <c r="D588" s="11" t="s">
        <v>14</v>
      </c>
      <c r="E588" s="11">
        <f t="shared" ref="E588:J588" si="136">E589+E590+E598</f>
        <v>1788.5299999999997</v>
      </c>
      <c r="F588" s="11">
        <f t="shared" si="136"/>
        <v>67.485000000000014</v>
      </c>
      <c r="G588" s="11">
        <f t="shared" si="136"/>
        <v>1845.1210000000001</v>
      </c>
      <c r="H588" s="11">
        <f t="shared" si="136"/>
        <v>8399496.0004720017</v>
      </c>
      <c r="I588" s="11">
        <f t="shared" si="136"/>
        <v>0</v>
      </c>
      <c r="J588" s="11">
        <f t="shared" si="136"/>
        <v>8399496.0004720017</v>
      </c>
      <c r="K588" s="11">
        <f t="shared" si="134"/>
        <v>4552.273807773041</v>
      </c>
      <c r="L588" s="11">
        <f t="shared" si="130"/>
        <v>1.3420989984263998</v>
      </c>
      <c r="M588" s="11">
        <f>M589+M590+M598</f>
        <v>1122122.7000000002</v>
      </c>
      <c r="N588" s="11">
        <f>N589+N590+N598</f>
        <v>202250.9</v>
      </c>
    </row>
    <row r="589" spans="1:14" ht="15.75" x14ac:dyDescent="0.25">
      <c r="A589" s="39">
        <v>10</v>
      </c>
      <c r="B589" s="34" t="s">
        <v>6</v>
      </c>
      <c r="C589" s="18" t="s">
        <v>104</v>
      </c>
      <c r="D589" s="32" t="s">
        <v>847</v>
      </c>
      <c r="E589" s="5">
        <v>0</v>
      </c>
      <c r="F589" s="5">
        <v>10.894</v>
      </c>
      <c r="G589" s="5"/>
      <c r="H589" s="49"/>
      <c r="I589" s="49"/>
      <c r="J589" s="5"/>
      <c r="K589" s="5"/>
      <c r="L589" s="5"/>
      <c r="M589" s="5"/>
      <c r="N589" s="5"/>
    </row>
    <row r="590" spans="1:14" ht="15.75" x14ac:dyDescent="0.25">
      <c r="A590" s="37">
        <v>10</v>
      </c>
      <c r="B590" s="19" t="s">
        <v>5</v>
      </c>
      <c r="C590" s="19" t="s">
        <v>782</v>
      </c>
      <c r="D590" s="7" t="s">
        <v>2802</v>
      </c>
      <c r="E590" s="7">
        <f t="shared" ref="E590:J590" si="137">SUM(E591:E597)</f>
        <v>0</v>
      </c>
      <c r="F590" s="7">
        <f t="shared" si="137"/>
        <v>0</v>
      </c>
      <c r="G590" s="7">
        <f t="shared" si="137"/>
        <v>0</v>
      </c>
      <c r="H590" s="7">
        <f t="shared" si="137"/>
        <v>0</v>
      </c>
      <c r="I590" s="7">
        <f t="shared" si="137"/>
        <v>0</v>
      </c>
      <c r="J590" s="7">
        <f t="shared" si="137"/>
        <v>0</v>
      </c>
      <c r="K590" s="7" t="e">
        <f>J590/G590</f>
        <v>#DIV/0!</v>
      </c>
      <c r="L590" s="7" t="e">
        <f>K590/$K$1659</f>
        <v>#DIV/0!</v>
      </c>
      <c r="M590" s="7">
        <f>SUM(M591:M597)</f>
        <v>0</v>
      </c>
      <c r="N590" s="7">
        <f>SUM(N591:N597)</f>
        <v>0</v>
      </c>
    </row>
    <row r="591" spans="1:14" ht="15.75" x14ac:dyDescent="0.25">
      <c r="A591" s="38">
        <v>10</v>
      </c>
      <c r="B591" s="34" t="s">
        <v>4</v>
      </c>
      <c r="C591" s="18" t="s">
        <v>105</v>
      </c>
      <c r="D591" s="32" t="s">
        <v>915</v>
      </c>
      <c r="E591" s="5"/>
      <c r="F591" s="5"/>
      <c r="G591" s="5"/>
      <c r="H591" s="49"/>
      <c r="I591" s="49"/>
      <c r="J591" s="5"/>
      <c r="K591" s="5"/>
      <c r="L591" s="5"/>
      <c r="M591" s="5"/>
      <c r="N591" s="5"/>
    </row>
    <row r="592" spans="1:14" ht="15.75" x14ac:dyDescent="0.25">
      <c r="A592" s="38">
        <v>10</v>
      </c>
      <c r="B592" s="34" t="s">
        <v>4</v>
      </c>
      <c r="C592" s="18" t="s">
        <v>106</v>
      </c>
      <c r="D592" s="32" t="s">
        <v>916</v>
      </c>
      <c r="E592" s="5"/>
      <c r="F592" s="5"/>
      <c r="G592" s="5"/>
      <c r="H592" s="49"/>
      <c r="I592" s="49"/>
      <c r="J592" s="5"/>
      <c r="K592" s="5"/>
      <c r="L592" s="5"/>
      <c r="M592" s="5"/>
      <c r="N592" s="5"/>
    </row>
    <row r="593" spans="1:14" ht="15.75" x14ac:dyDescent="0.25">
      <c r="A593" s="38">
        <v>10</v>
      </c>
      <c r="B593" s="34" t="s">
        <v>4</v>
      </c>
      <c r="C593" s="18" t="s">
        <v>2749</v>
      </c>
      <c r="D593" s="32" t="s">
        <v>2750</v>
      </c>
      <c r="E593" s="5"/>
      <c r="F593" s="5"/>
      <c r="G593" s="5"/>
      <c r="H593" s="49"/>
      <c r="I593" s="49"/>
      <c r="J593" s="5"/>
      <c r="K593" s="5"/>
      <c r="L593" s="5"/>
      <c r="M593" s="5"/>
      <c r="N593" s="5"/>
    </row>
    <row r="594" spans="1:14" ht="15.75" x14ac:dyDescent="0.25">
      <c r="A594" s="38">
        <v>10</v>
      </c>
      <c r="B594" s="34" t="s">
        <v>4</v>
      </c>
      <c r="C594" s="18" t="s">
        <v>2751</v>
      </c>
      <c r="D594" s="32" t="s">
        <v>2752</v>
      </c>
      <c r="E594" s="5"/>
      <c r="F594" s="5"/>
      <c r="G594" s="5"/>
      <c r="H594" s="49"/>
      <c r="I594" s="49"/>
      <c r="J594" s="5"/>
      <c r="K594" s="5"/>
      <c r="L594" s="5"/>
      <c r="M594" s="5"/>
      <c r="N594" s="5"/>
    </row>
    <row r="595" spans="1:14" s="24" customFormat="1" ht="15.75" x14ac:dyDescent="0.25">
      <c r="A595" s="38">
        <v>10</v>
      </c>
      <c r="B595" s="34" t="s">
        <v>4</v>
      </c>
      <c r="C595" s="18" t="s">
        <v>107</v>
      </c>
      <c r="D595" s="32" t="s">
        <v>917</v>
      </c>
      <c r="E595" s="5"/>
      <c r="F595" s="5"/>
      <c r="G595" s="5"/>
      <c r="H595" s="49"/>
      <c r="I595" s="49"/>
      <c r="J595" s="5"/>
      <c r="K595" s="5"/>
      <c r="L595" s="5"/>
      <c r="M595" s="5"/>
      <c r="N595" s="5"/>
    </row>
    <row r="596" spans="1:14" s="24" customFormat="1" ht="15.75" x14ac:dyDescent="0.25">
      <c r="A596" s="38">
        <v>10</v>
      </c>
      <c r="B596" s="34" t="s">
        <v>4</v>
      </c>
      <c r="C596" s="18" t="s">
        <v>108</v>
      </c>
      <c r="D596" s="32" t="s">
        <v>918</v>
      </c>
      <c r="E596" s="5"/>
      <c r="F596" s="5"/>
      <c r="G596" s="5"/>
      <c r="H596" s="49"/>
      <c r="I596" s="49"/>
      <c r="J596" s="5"/>
      <c r="K596" s="5"/>
      <c r="L596" s="5"/>
      <c r="M596" s="5"/>
      <c r="N596" s="5"/>
    </row>
    <row r="597" spans="1:14" s="24" customFormat="1" ht="15.75" x14ac:dyDescent="0.25">
      <c r="A597" s="38">
        <v>10</v>
      </c>
      <c r="B597" s="34" t="s">
        <v>4</v>
      </c>
      <c r="C597" s="18">
        <v>10325200000</v>
      </c>
      <c r="D597" s="32" t="s">
        <v>1769</v>
      </c>
      <c r="E597" s="5"/>
      <c r="F597" s="5"/>
      <c r="G597" s="5"/>
      <c r="H597" s="49"/>
      <c r="I597" s="49"/>
      <c r="J597" s="5"/>
      <c r="K597" s="5"/>
      <c r="L597" s="5"/>
      <c r="M597" s="5"/>
      <c r="N597" s="5"/>
    </row>
    <row r="598" spans="1:14" s="24" customFormat="1" ht="31.5" x14ac:dyDescent="0.25">
      <c r="A598" s="37">
        <v>10</v>
      </c>
      <c r="B598" s="19" t="s">
        <v>28</v>
      </c>
      <c r="C598" s="19" t="s">
        <v>783</v>
      </c>
      <c r="D598" s="20" t="s">
        <v>2776</v>
      </c>
      <c r="E598" s="7">
        <f t="shared" ref="E598:J598" si="138">SUM(E599:E667)</f>
        <v>1788.5299999999997</v>
      </c>
      <c r="F598" s="7">
        <f t="shared" si="138"/>
        <v>56.591000000000008</v>
      </c>
      <c r="G598" s="7">
        <f t="shared" si="138"/>
        <v>1845.1210000000001</v>
      </c>
      <c r="H598" s="7">
        <f t="shared" si="138"/>
        <v>8399496.0004720017</v>
      </c>
      <c r="I598" s="7">
        <f t="shared" si="138"/>
        <v>0</v>
      </c>
      <c r="J598" s="7">
        <f t="shared" si="138"/>
        <v>8399496.0004720017</v>
      </c>
      <c r="K598" s="7">
        <f t="shared" ref="K598:K622" si="139">J598/G598</f>
        <v>4552.273807773041</v>
      </c>
      <c r="L598" s="7">
        <f t="shared" ref="L598:L629" si="140">K598/$K$1659</f>
        <v>1.3420989984263998</v>
      </c>
      <c r="M598" s="7">
        <f>SUM(M599:M667)</f>
        <v>1122122.7000000002</v>
      </c>
      <c r="N598" s="7">
        <f>SUM(N599:N667)</f>
        <v>202250.9</v>
      </c>
    </row>
    <row r="599" spans="1:14" ht="31.5" x14ac:dyDescent="0.25">
      <c r="A599" s="38">
        <v>10</v>
      </c>
      <c r="B599" s="34" t="s">
        <v>985</v>
      </c>
      <c r="C599" s="18" t="s">
        <v>109</v>
      </c>
      <c r="D599" s="32" t="s">
        <v>1770</v>
      </c>
      <c r="E599" s="5">
        <v>10.565</v>
      </c>
      <c r="F599" s="5">
        <v>3.7999999999999999E-2</v>
      </c>
      <c r="G599" s="5">
        <f t="shared" ref="G599:G622" si="141">F599+E599</f>
        <v>10.603</v>
      </c>
      <c r="H599" s="49">
        <v>24717.865010000001</v>
      </c>
      <c r="I599" s="49"/>
      <c r="J599" s="5">
        <f t="shared" ref="J599:J622" si="142">H599+I599</f>
        <v>24717.865010000001</v>
      </c>
      <c r="K599" s="5">
        <f t="shared" si="139"/>
        <v>2331.2142799207772</v>
      </c>
      <c r="L599" s="5">
        <f t="shared" si="140"/>
        <v>0.68728738259475586</v>
      </c>
      <c r="M599" s="5">
        <f t="shared" ref="M599:M630" si="143">ROUND(IF(L599&lt;110%,0,(K599-$K$1659*1.1)*0.5)*G599,1)</f>
        <v>0</v>
      </c>
      <c r="N599" s="5">
        <f t="shared" ref="N599:N630" si="144">ROUND(IF(L599&gt;90%,0,(-K599+$K$1659*0.9)*0.8)*G599,1)</f>
        <v>6120.1</v>
      </c>
    </row>
    <row r="600" spans="1:14" ht="15.75" x14ac:dyDescent="0.25">
      <c r="A600" s="38">
        <v>10</v>
      </c>
      <c r="B600" s="34" t="s">
        <v>985</v>
      </c>
      <c r="C600" s="18" t="s">
        <v>284</v>
      </c>
      <c r="D600" s="32" t="s">
        <v>1771</v>
      </c>
      <c r="E600" s="5">
        <v>7.9039999999999999</v>
      </c>
      <c r="F600" s="5">
        <v>7.2999999999999995E-2</v>
      </c>
      <c r="G600" s="5">
        <f t="shared" si="141"/>
        <v>7.9770000000000003</v>
      </c>
      <c r="H600" s="49">
        <v>29723.601649999997</v>
      </c>
      <c r="I600" s="49"/>
      <c r="J600" s="5">
        <f t="shared" si="142"/>
        <v>29723.601649999997</v>
      </c>
      <c r="K600" s="5">
        <f t="shared" si="139"/>
        <v>3726.1629246583925</v>
      </c>
      <c r="L600" s="5">
        <f t="shared" si="140"/>
        <v>1.0985454171536375</v>
      </c>
      <c r="M600" s="5">
        <f t="shared" si="143"/>
        <v>0</v>
      </c>
      <c r="N600" s="5">
        <f t="shared" si="144"/>
        <v>0</v>
      </c>
    </row>
    <row r="601" spans="1:14" ht="31.5" x14ac:dyDescent="0.25">
      <c r="A601" s="38">
        <v>10</v>
      </c>
      <c r="B601" s="34" t="s">
        <v>984</v>
      </c>
      <c r="C601" s="18" t="s">
        <v>568</v>
      </c>
      <c r="D601" s="32" t="s">
        <v>1772</v>
      </c>
      <c r="E601" s="5">
        <v>5.5110000000000001</v>
      </c>
      <c r="F601" s="5">
        <v>4.1000000000000002E-2</v>
      </c>
      <c r="G601" s="5">
        <f t="shared" si="141"/>
        <v>5.5520000000000005</v>
      </c>
      <c r="H601" s="49">
        <v>14250.778805999998</v>
      </c>
      <c r="I601" s="49"/>
      <c r="J601" s="5">
        <f t="shared" si="142"/>
        <v>14250.778805999998</v>
      </c>
      <c r="K601" s="5">
        <f t="shared" si="139"/>
        <v>2566.7829261527372</v>
      </c>
      <c r="L601" s="5">
        <f t="shared" si="140"/>
        <v>0.75673760846402083</v>
      </c>
      <c r="M601" s="5">
        <f t="shared" si="143"/>
        <v>0</v>
      </c>
      <c r="N601" s="5">
        <f t="shared" si="144"/>
        <v>2158.3000000000002</v>
      </c>
    </row>
    <row r="602" spans="1:14" ht="31.5" x14ac:dyDescent="0.25">
      <c r="A602" s="38">
        <v>10</v>
      </c>
      <c r="B602" s="34" t="s">
        <v>985</v>
      </c>
      <c r="C602" s="18" t="s">
        <v>569</v>
      </c>
      <c r="D602" s="32" t="s">
        <v>1773</v>
      </c>
      <c r="E602" s="5">
        <v>30.236999999999998</v>
      </c>
      <c r="F602" s="5">
        <v>0.17499999999999999</v>
      </c>
      <c r="G602" s="5">
        <f t="shared" si="141"/>
        <v>30.411999999999999</v>
      </c>
      <c r="H602" s="49">
        <v>112415.86699000002</v>
      </c>
      <c r="I602" s="49"/>
      <c r="J602" s="5">
        <f t="shared" si="142"/>
        <v>112415.86699000002</v>
      </c>
      <c r="K602" s="5">
        <f t="shared" si="139"/>
        <v>3696.4312439168757</v>
      </c>
      <c r="L602" s="5">
        <f t="shared" si="140"/>
        <v>1.0897799384874403</v>
      </c>
      <c r="M602" s="5">
        <f t="shared" si="143"/>
        <v>0</v>
      </c>
      <c r="N602" s="5">
        <f t="shared" si="144"/>
        <v>0</v>
      </c>
    </row>
    <row r="603" spans="1:14" ht="31.5" x14ac:dyDescent="0.25">
      <c r="A603" s="38">
        <v>10</v>
      </c>
      <c r="B603" s="34" t="s">
        <v>984</v>
      </c>
      <c r="C603" s="18" t="s">
        <v>570</v>
      </c>
      <c r="D603" s="32" t="s">
        <v>1774</v>
      </c>
      <c r="E603" s="5">
        <v>4.367</v>
      </c>
      <c r="F603" s="5">
        <v>5.1999999999999998E-2</v>
      </c>
      <c r="G603" s="5">
        <f t="shared" si="141"/>
        <v>4.4189999999999996</v>
      </c>
      <c r="H603" s="49">
        <v>23887.538100000002</v>
      </c>
      <c r="I603" s="49"/>
      <c r="J603" s="5">
        <f t="shared" si="142"/>
        <v>23887.538100000002</v>
      </c>
      <c r="K603" s="5">
        <f t="shared" si="139"/>
        <v>5405.6433808553984</v>
      </c>
      <c r="L603" s="5">
        <f t="shared" si="140"/>
        <v>1.5936889725105108</v>
      </c>
      <c r="M603" s="5">
        <f t="shared" si="143"/>
        <v>3699.9</v>
      </c>
      <c r="N603" s="5">
        <f t="shared" si="144"/>
        <v>0</v>
      </c>
    </row>
    <row r="604" spans="1:14" ht="15.75" x14ac:dyDescent="0.25">
      <c r="A604" s="38">
        <v>10</v>
      </c>
      <c r="B604" s="34" t="s">
        <v>984</v>
      </c>
      <c r="C604" s="18" t="s">
        <v>571</v>
      </c>
      <c r="D604" s="32" t="s">
        <v>1775</v>
      </c>
      <c r="E604" s="5">
        <v>10.728999999999999</v>
      </c>
      <c r="F604" s="5">
        <v>8.6999999999999994E-2</v>
      </c>
      <c r="G604" s="5">
        <f t="shared" si="141"/>
        <v>10.815999999999999</v>
      </c>
      <c r="H604" s="49">
        <v>27243.561753999998</v>
      </c>
      <c r="I604" s="49"/>
      <c r="J604" s="5">
        <f t="shared" si="142"/>
        <v>27243.561753999998</v>
      </c>
      <c r="K604" s="5">
        <f t="shared" si="139"/>
        <v>2518.8204284393491</v>
      </c>
      <c r="L604" s="5">
        <f t="shared" si="140"/>
        <v>0.74259732981178905</v>
      </c>
      <c r="M604" s="5">
        <f t="shared" si="143"/>
        <v>0</v>
      </c>
      <c r="N604" s="5">
        <f t="shared" si="144"/>
        <v>4619.7</v>
      </c>
    </row>
    <row r="605" spans="1:14" ht="15.75" x14ac:dyDescent="0.25">
      <c r="A605" s="38">
        <v>10</v>
      </c>
      <c r="B605" s="34" t="s">
        <v>983</v>
      </c>
      <c r="C605" s="18" t="s">
        <v>694</v>
      </c>
      <c r="D605" s="32" t="s">
        <v>1776</v>
      </c>
      <c r="E605" s="5">
        <v>20.245000000000001</v>
      </c>
      <c r="F605" s="5">
        <v>0.17799999999999999</v>
      </c>
      <c r="G605" s="5">
        <f t="shared" si="141"/>
        <v>20.423000000000002</v>
      </c>
      <c r="H605" s="49">
        <v>39665.407691999993</v>
      </c>
      <c r="I605" s="49"/>
      <c r="J605" s="5">
        <f t="shared" si="142"/>
        <v>39665.407691999993</v>
      </c>
      <c r="K605" s="5">
        <f t="shared" si="139"/>
        <v>1942.1930025951128</v>
      </c>
      <c r="L605" s="5">
        <f t="shared" si="140"/>
        <v>0.57259633176784064</v>
      </c>
      <c r="M605" s="5">
        <f t="shared" si="143"/>
        <v>0</v>
      </c>
      <c r="N605" s="5">
        <f t="shared" si="144"/>
        <v>18144.2</v>
      </c>
    </row>
    <row r="606" spans="1:14" ht="15.75" x14ac:dyDescent="0.25">
      <c r="A606" s="38">
        <v>10</v>
      </c>
      <c r="B606" s="34" t="s">
        <v>983</v>
      </c>
      <c r="C606" s="18" t="s">
        <v>695</v>
      </c>
      <c r="D606" s="32" t="s">
        <v>1777</v>
      </c>
      <c r="E606" s="5">
        <v>30.629000000000001</v>
      </c>
      <c r="F606" s="5">
        <v>0.13</v>
      </c>
      <c r="G606" s="5">
        <f t="shared" si="141"/>
        <v>30.759</v>
      </c>
      <c r="H606" s="49">
        <v>82595.536085999993</v>
      </c>
      <c r="I606" s="49"/>
      <c r="J606" s="5">
        <f t="shared" si="142"/>
        <v>82595.536085999993</v>
      </c>
      <c r="K606" s="5">
        <f t="shared" si="139"/>
        <v>2685.2477676777526</v>
      </c>
      <c r="L606" s="5">
        <f t="shared" si="140"/>
        <v>0.79166335148237488</v>
      </c>
      <c r="M606" s="5">
        <f t="shared" si="143"/>
        <v>0</v>
      </c>
      <c r="N606" s="5">
        <f t="shared" si="144"/>
        <v>9042.4</v>
      </c>
    </row>
    <row r="607" spans="1:14" ht="31.5" x14ac:dyDescent="0.25">
      <c r="A607" s="38">
        <v>10</v>
      </c>
      <c r="B607" s="34" t="s">
        <v>984</v>
      </c>
      <c r="C607" s="18" t="s">
        <v>696</v>
      </c>
      <c r="D607" s="32" t="s">
        <v>1778</v>
      </c>
      <c r="E607" s="5">
        <v>6.9640000000000004</v>
      </c>
      <c r="F607" s="5">
        <v>3.1E-2</v>
      </c>
      <c r="G607" s="5">
        <f t="shared" si="141"/>
        <v>6.9950000000000001</v>
      </c>
      <c r="H607" s="49">
        <v>57090.170982000003</v>
      </c>
      <c r="I607" s="49"/>
      <c r="J607" s="5">
        <f t="shared" si="142"/>
        <v>57090.170982000003</v>
      </c>
      <c r="K607" s="5">
        <f t="shared" si="139"/>
        <v>8161.5684034310225</v>
      </c>
      <c r="L607" s="5">
        <f t="shared" si="140"/>
        <v>2.4061893555545621</v>
      </c>
      <c r="M607" s="5">
        <f t="shared" si="143"/>
        <v>15495.6</v>
      </c>
      <c r="N607" s="5">
        <f t="shared" si="144"/>
        <v>0</v>
      </c>
    </row>
    <row r="608" spans="1:14" ht="31.5" x14ac:dyDescent="0.25">
      <c r="A608" s="38">
        <v>10</v>
      </c>
      <c r="B608" s="34" t="s">
        <v>985</v>
      </c>
      <c r="C608" s="18">
        <v>10510000000</v>
      </c>
      <c r="D608" s="32" t="s">
        <v>1779</v>
      </c>
      <c r="E608" s="5">
        <v>26.998999999999999</v>
      </c>
      <c r="F608" s="5">
        <v>0.35</v>
      </c>
      <c r="G608" s="5">
        <f t="shared" si="141"/>
        <v>27.349</v>
      </c>
      <c r="H608" s="49">
        <v>89506.834439999991</v>
      </c>
      <c r="I608" s="49"/>
      <c r="J608" s="5">
        <f t="shared" si="142"/>
        <v>89506.834439999991</v>
      </c>
      <c r="K608" s="5">
        <f t="shared" si="139"/>
        <v>3272.7644316062742</v>
      </c>
      <c r="L608" s="5">
        <f t="shared" si="140"/>
        <v>0.96487470903975858</v>
      </c>
      <c r="M608" s="5">
        <f t="shared" si="143"/>
        <v>0</v>
      </c>
      <c r="N608" s="5">
        <f t="shared" si="144"/>
        <v>0</v>
      </c>
    </row>
    <row r="609" spans="1:14" ht="31.5" x14ac:dyDescent="0.25">
      <c r="A609" s="38">
        <v>10</v>
      </c>
      <c r="B609" s="34" t="s">
        <v>985</v>
      </c>
      <c r="C609" s="18">
        <v>10511000000</v>
      </c>
      <c r="D609" s="32" t="s">
        <v>1780</v>
      </c>
      <c r="E609" s="5">
        <v>25.332000000000001</v>
      </c>
      <c r="F609" s="5">
        <v>0.436</v>
      </c>
      <c r="G609" s="5">
        <f t="shared" si="141"/>
        <v>25.768000000000001</v>
      </c>
      <c r="H609" s="49">
        <v>59996.729409999993</v>
      </c>
      <c r="I609" s="49"/>
      <c r="J609" s="5">
        <f t="shared" si="142"/>
        <v>59996.729409999993</v>
      </c>
      <c r="K609" s="5">
        <f t="shared" si="139"/>
        <v>2328.3424949549826</v>
      </c>
      <c r="L609" s="5">
        <f t="shared" si="140"/>
        <v>0.68644072444345838</v>
      </c>
      <c r="M609" s="5">
        <f t="shared" si="143"/>
        <v>0</v>
      </c>
      <c r="N609" s="5">
        <f t="shared" si="144"/>
        <v>14932.5</v>
      </c>
    </row>
    <row r="610" spans="1:14" ht="31.5" x14ac:dyDescent="0.25">
      <c r="A610" s="38">
        <v>10</v>
      </c>
      <c r="B610" s="34" t="s">
        <v>984</v>
      </c>
      <c r="C610" s="18">
        <v>10512000000</v>
      </c>
      <c r="D610" s="32" t="s">
        <v>1781</v>
      </c>
      <c r="E610" s="5">
        <v>6.5659999999999998</v>
      </c>
      <c r="F610" s="5">
        <v>7.0999999999999994E-2</v>
      </c>
      <c r="G610" s="5">
        <f t="shared" si="141"/>
        <v>6.6369999999999996</v>
      </c>
      <c r="H610" s="49">
        <v>41440.623619999998</v>
      </c>
      <c r="I610" s="49"/>
      <c r="J610" s="5">
        <f t="shared" si="142"/>
        <v>41440.623619999998</v>
      </c>
      <c r="K610" s="5">
        <f t="shared" si="139"/>
        <v>6243.8788036763599</v>
      </c>
      <c r="L610" s="5">
        <f t="shared" si="140"/>
        <v>1.840817104278992</v>
      </c>
      <c r="M610" s="5">
        <f t="shared" si="143"/>
        <v>8338.7000000000007</v>
      </c>
      <c r="N610" s="5">
        <f t="shared" si="144"/>
        <v>0</v>
      </c>
    </row>
    <row r="611" spans="1:14" ht="15.75" x14ac:dyDescent="0.25">
      <c r="A611" s="38">
        <v>10</v>
      </c>
      <c r="B611" s="34" t="s">
        <v>983</v>
      </c>
      <c r="C611" s="18">
        <v>10513000000</v>
      </c>
      <c r="D611" s="32" t="s">
        <v>2988</v>
      </c>
      <c r="E611" s="5">
        <v>32.036999999999999</v>
      </c>
      <c r="F611" s="5">
        <v>0.40500000000000003</v>
      </c>
      <c r="G611" s="5">
        <f t="shared" si="141"/>
        <v>32.442</v>
      </c>
      <c r="H611" s="49">
        <v>223276.58560400002</v>
      </c>
      <c r="I611" s="49"/>
      <c r="J611" s="5">
        <f t="shared" si="142"/>
        <v>223276.58560400002</v>
      </c>
      <c r="K611" s="5">
        <f t="shared" si="139"/>
        <v>6882.3311017816413</v>
      </c>
      <c r="L611" s="5">
        <f t="shared" si="140"/>
        <v>2.0290452790357536</v>
      </c>
      <c r="M611" s="5">
        <f t="shared" si="143"/>
        <v>51116.2</v>
      </c>
      <c r="N611" s="5">
        <f t="shared" si="144"/>
        <v>0</v>
      </c>
    </row>
    <row r="612" spans="1:14" ht="15.75" x14ac:dyDescent="0.25">
      <c r="A612" s="38">
        <v>10</v>
      </c>
      <c r="B612" s="34" t="s">
        <v>986</v>
      </c>
      <c r="C612" s="18">
        <v>10514000000</v>
      </c>
      <c r="D612" s="32" t="s">
        <v>2989</v>
      </c>
      <c r="E612" s="5">
        <v>21.920999999999999</v>
      </c>
      <c r="F612" s="5">
        <v>0.30499999999999999</v>
      </c>
      <c r="G612" s="5">
        <f t="shared" si="141"/>
        <v>22.225999999999999</v>
      </c>
      <c r="H612" s="49">
        <v>82383.090936000008</v>
      </c>
      <c r="I612" s="49"/>
      <c r="J612" s="5">
        <f t="shared" si="142"/>
        <v>82383.090936000008</v>
      </c>
      <c r="K612" s="5">
        <f t="shared" si="139"/>
        <v>3706.6089685953393</v>
      </c>
      <c r="L612" s="5">
        <f t="shared" si="140"/>
        <v>1.0927805299883078</v>
      </c>
      <c r="M612" s="5">
        <f t="shared" si="143"/>
        <v>0</v>
      </c>
      <c r="N612" s="5">
        <f t="shared" si="144"/>
        <v>0</v>
      </c>
    </row>
    <row r="613" spans="1:14" ht="15.75" x14ac:dyDescent="0.25">
      <c r="A613" s="38">
        <v>10</v>
      </c>
      <c r="B613" s="34" t="s">
        <v>986</v>
      </c>
      <c r="C613" s="18">
        <v>10515000000</v>
      </c>
      <c r="D613" s="32" t="s">
        <v>2990</v>
      </c>
      <c r="E613" s="5">
        <v>57.162999999999997</v>
      </c>
      <c r="F613" s="5">
        <v>4.5869999999999997</v>
      </c>
      <c r="G613" s="5">
        <f t="shared" si="141"/>
        <v>61.75</v>
      </c>
      <c r="H613" s="49">
        <v>165492.79884599999</v>
      </c>
      <c r="I613" s="49"/>
      <c r="J613" s="5">
        <f t="shared" si="142"/>
        <v>165492.79884599999</v>
      </c>
      <c r="K613" s="5">
        <f t="shared" si="139"/>
        <v>2680.0453254412955</v>
      </c>
      <c r="L613" s="5">
        <f t="shared" si="140"/>
        <v>0.79012957016566276</v>
      </c>
      <c r="M613" s="5">
        <f t="shared" si="143"/>
        <v>0</v>
      </c>
      <c r="N613" s="5">
        <f t="shared" si="144"/>
        <v>18409.900000000001</v>
      </c>
    </row>
    <row r="614" spans="1:14" ht="15.75" x14ac:dyDescent="0.25">
      <c r="A614" s="38">
        <v>10</v>
      </c>
      <c r="B614" s="34" t="s">
        <v>986</v>
      </c>
      <c r="C614" s="18">
        <v>10516000000</v>
      </c>
      <c r="D614" s="32" t="s">
        <v>2991</v>
      </c>
      <c r="E614" s="5">
        <v>14.425000000000001</v>
      </c>
      <c r="F614" s="5">
        <v>0.128</v>
      </c>
      <c r="G614" s="5">
        <f t="shared" si="141"/>
        <v>14.553000000000001</v>
      </c>
      <c r="H614" s="49">
        <v>36335.245463999992</v>
      </c>
      <c r="I614" s="49"/>
      <c r="J614" s="5">
        <f t="shared" si="142"/>
        <v>36335.245463999992</v>
      </c>
      <c r="K614" s="5">
        <f t="shared" si="139"/>
        <v>2496.7529350649343</v>
      </c>
      <c r="L614" s="5">
        <f t="shared" si="140"/>
        <v>0.7360914028824791</v>
      </c>
      <c r="M614" s="5">
        <f t="shared" si="143"/>
        <v>0</v>
      </c>
      <c r="N614" s="5">
        <f t="shared" si="144"/>
        <v>6472.7</v>
      </c>
    </row>
    <row r="615" spans="1:14" ht="15.75" x14ac:dyDescent="0.25">
      <c r="A615" s="38">
        <v>10</v>
      </c>
      <c r="B615" s="34" t="s">
        <v>986</v>
      </c>
      <c r="C615" s="18">
        <v>10517000000</v>
      </c>
      <c r="D615" s="32" t="s">
        <v>2992</v>
      </c>
      <c r="E615" s="5">
        <v>42.639000000000003</v>
      </c>
      <c r="F615" s="5">
        <v>1.87</v>
      </c>
      <c r="G615" s="5">
        <f t="shared" si="141"/>
        <v>44.509</v>
      </c>
      <c r="H615" s="49">
        <v>290350.75349400006</v>
      </c>
      <c r="I615" s="49"/>
      <c r="J615" s="5">
        <f t="shared" si="142"/>
        <v>290350.75349400006</v>
      </c>
      <c r="K615" s="5">
        <f t="shared" si="139"/>
        <v>6523.4166908715106</v>
      </c>
      <c r="L615" s="5">
        <f t="shared" si="140"/>
        <v>1.9232303189204847</v>
      </c>
      <c r="M615" s="5">
        <f t="shared" si="143"/>
        <v>62141.7</v>
      </c>
      <c r="N615" s="5">
        <f t="shared" si="144"/>
        <v>0</v>
      </c>
    </row>
    <row r="616" spans="1:14" ht="31.5" x14ac:dyDescent="0.25">
      <c r="A616" s="38">
        <v>10</v>
      </c>
      <c r="B616" s="34" t="s">
        <v>983</v>
      </c>
      <c r="C616" s="18">
        <v>10518000000</v>
      </c>
      <c r="D616" s="32" t="s">
        <v>2993</v>
      </c>
      <c r="E616" s="5">
        <v>25.821000000000002</v>
      </c>
      <c r="F616" s="5">
        <v>0.29199999999999998</v>
      </c>
      <c r="G616" s="5">
        <f t="shared" si="141"/>
        <v>26.113000000000003</v>
      </c>
      <c r="H616" s="49">
        <v>66262.820810000005</v>
      </c>
      <c r="I616" s="49"/>
      <c r="J616" s="5">
        <f t="shared" si="142"/>
        <v>66262.820810000005</v>
      </c>
      <c r="K616" s="5">
        <f t="shared" si="139"/>
        <v>2537.5414854670084</v>
      </c>
      <c r="L616" s="5">
        <f t="shared" si="140"/>
        <v>0.74811666211631855</v>
      </c>
      <c r="M616" s="5">
        <f t="shared" si="143"/>
        <v>0</v>
      </c>
      <c r="N616" s="5">
        <f t="shared" si="144"/>
        <v>10762.2</v>
      </c>
    </row>
    <row r="617" spans="1:14" s="13" customFormat="1" ht="31.5" x14ac:dyDescent="0.25">
      <c r="A617" s="38">
        <v>10</v>
      </c>
      <c r="B617" s="34" t="s">
        <v>985</v>
      </c>
      <c r="C617" s="18">
        <v>10519000000</v>
      </c>
      <c r="D617" s="32" t="s">
        <v>2994</v>
      </c>
      <c r="E617" s="86">
        <v>12.776</v>
      </c>
      <c r="F617" s="86">
        <v>0.42699999999999999</v>
      </c>
      <c r="G617" s="86">
        <f>F617+E617</f>
        <v>13.202999999999999</v>
      </c>
      <c r="H617" s="86">
        <v>61257.064158000001</v>
      </c>
      <c r="I617" s="86"/>
      <c r="J617" s="5">
        <f>H617+I617</f>
        <v>61257.064158000001</v>
      </c>
      <c r="K617" s="5">
        <f>J617/G617</f>
        <v>4639.6322167689168</v>
      </c>
      <c r="L617" s="5">
        <f t="shared" si="140"/>
        <v>1.3678539591709171</v>
      </c>
      <c r="M617" s="5">
        <f t="shared" si="143"/>
        <v>5997.7</v>
      </c>
      <c r="N617" s="5">
        <f t="shared" si="144"/>
        <v>0</v>
      </c>
    </row>
    <row r="618" spans="1:14" s="13" customFormat="1" ht="15.75" x14ac:dyDescent="0.25">
      <c r="A618" s="38">
        <v>10</v>
      </c>
      <c r="B618" s="34" t="s">
        <v>984</v>
      </c>
      <c r="C618" s="18">
        <v>10520000000</v>
      </c>
      <c r="D618" s="32" t="s">
        <v>2995</v>
      </c>
      <c r="E618" s="5">
        <v>5.3079999999999998</v>
      </c>
      <c r="F618" s="5">
        <v>7.0000000000000007E-2</v>
      </c>
      <c r="G618" s="5">
        <f t="shared" si="141"/>
        <v>5.3780000000000001</v>
      </c>
      <c r="H618" s="49">
        <v>50274.503292000016</v>
      </c>
      <c r="I618" s="49"/>
      <c r="J618" s="5">
        <f t="shared" si="142"/>
        <v>50274.503292000016</v>
      </c>
      <c r="K618" s="5">
        <f t="shared" si="139"/>
        <v>9348.1783733730044</v>
      </c>
      <c r="L618" s="5">
        <f t="shared" si="140"/>
        <v>2.7560250902730292</v>
      </c>
      <c r="M618" s="5">
        <f t="shared" si="143"/>
        <v>15104.3</v>
      </c>
      <c r="N618" s="5">
        <f t="shared" si="144"/>
        <v>0</v>
      </c>
    </row>
    <row r="619" spans="1:14" s="13" customFormat="1" ht="31.5" x14ac:dyDescent="0.25">
      <c r="A619" s="38">
        <v>10</v>
      </c>
      <c r="B619" s="34" t="s">
        <v>984</v>
      </c>
      <c r="C619" s="18">
        <v>10521000000</v>
      </c>
      <c r="D619" s="32" t="s">
        <v>2996</v>
      </c>
      <c r="E619" s="86">
        <v>3.9569999999999999</v>
      </c>
      <c r="F619" s="86">
        <v>3.9E-2</v>
      </c>
      <c r="G619" s="86">
        <f>F619+E619</f>
        <v>3.996</v>
      </c>
      <c r="H619" s="86">
        <v>16038.642630000002</v>
      </c>
      <c r="I619" s="86"/>
      <c r="J619" s="5">
        <f>H619+I619</f>
        <v>16038.642630000002</v>
      </c>
      <c r="K619" s="5">
        <f>J619/G619</f>
        <v>4013.6743318318322</v>
      </c>
      <c r="L619" s="5">
        <f t="shared" si="140"/>
        <v>1.1833093808117032</v>
      </c>
      <c r="M619" s="5">
        <f t="shared" si="143"/>
        <v>564.6</v>
      </c>
      <c r="N619" s="5">
        <f t="shared" si="144"/>
        <v>0</v>
      </c>
    </row>
    <row r="620" spans="1:14" s="13" customFormat="1" ht="15.75" x14ac:dyDescent="0.25">
      <c r="A620" s="38">
        <v>10</v>
      </c>
      <c r="B620" s="34" t="s">
        <v>984</v>
      </c>
      <c r="C620" s="18">
        <v>10522000000</v>
      </c>
      <c r="D620" s="32" t="s">
        <v>2997</v>
      </c>
      <c r="E620" s="5">
        <v>5.9379999999999997</v>
      </c>
      <c r="F620" s="5">
        <v>5.3999999999999999E-2</v>
      </c>
      <c r="G620" s="5">
        <f t="shared" si="141"/>
        <v>5.992</v>
      </c>
      <c r="H620" s="49">
        <v>17865.701376000001</v>
      </c>
      <c r="I620" s="49"/>
      <c r="J620" s="5">
        <f t="shared" si="142"/>
        <v>17865.701376000001</v>
      </c>
      <c r="K620" s="5">
        <f t="shared" si="139"/>
        <v>2981.5923524699601</v>
      </c>
      <c r="L620" s="5">
        <f t="shared" si="140"/>
        <v>0.87903150797586016</v>
      </c>
      <c r="M620" s="5">
        <f t="shared" si="143"/>
        <v>0</v>
      </c>
      <c r="N620" s="5">
        <f t="shared" si="144"/>
        <v>340.9</v>
      </c>
    </row>
    <row r="621" spans="1:14" s="13" customFormat="1" ht="15.75" x14ac:dyDescent="0.25">
      <c r="A621" s="38">
        <v>10</v>
      </c>
      <c r="B621" s="34" t="s">
        <v>984</v>
      </c>
      <c r="C621" s="18">
        <v>10523000000</v>
      </c>
      <c r="D621" s="32" t="s">
        <v>2998</v>
      </c>
      <c r="E621" s="86">
        <v>9.19</v>
      </c>
      <c r="F621" s="5">
        <v>0.12</v>
      </c>
      <c r="G621" s="86">
        <f>F621+E621</f>
        <v>9.3099999999999987</v>
      </c>
      <c r="H621" s="86">
        <v>34077.3747</v>
      </c>
      <c r="I621" s="86"/>
      <c r="J621" s="5">
        <f>H621+I621</f>
        <v>34077.3747</v>
      </c>
      <c r="K621" s="5">
        <f>J621/G621</f>
        <v>3660.298034371644</v>
      </c>
      <c r="L621" s="5">
        <f t="shared" si="140"/>
        <v>1.0791271644258753</v>
      </c>
      <c r="M621" s="5">
        <f t="shared" si="143"/>
        <v>0</v>
      </c>
      <c r="N621" s="5">
        <f t="shared" si="144"/>
        <v>0</v>
      </c>
    </row>
    <row r="622" spans="1:14" s="13" customFormat="1" ht="31.5" x14ac:dyDescent="0.25">
      <c r="A622" s="38">
        <v>10</v>
      </c>
      <c r="B622" s="34" t="s">
        <v>985</v>
      </c>
      <c r="C622" s="18">
        <v>10524000000</v>
      </c>
      <c r="D622" s="32" t="s">
        <v>2498</v>
      </c>
      <c r="E622" s="5">
        <v>15.776999999999999</v>
      </c>
      <c r="F622" s="5">
        <v>0.36</v>
      </c>
      <c r="G622" s="5">
        <f t="shared" si="141"/>
        <v>16.137</v>
      </c>
      <c r="H622" s="49">
        <v>145880.842902</v>
      </c>
      <c r="I622" s="49"/>
      <c r="J622" s="5">
        <f t="shared" si="142"/>
        <v>145880.842902</v>
      </c>
      <c r="K622" s="5">
        <f t="shared" si="139"/>
        <v>9040.146427588772</v>
      </c>
      <c r="L622" s="5">
        <f t="shared" si="140"/>
        <v>2.6652112720851919</v>
      </c>
      <c r="M622" s="5">
        <f t="shared" si="143"/>
        <v>42836.1</v>
      </c>
      <c r="N622" s="5">
        <f t="shared" si="144"/>
        <v>0</v>
      </c>
    </row>
    <row r="623" spans="1:14" s="13" customFormat="1" ht="15.75" x14ac:dyDescent="0.25">
      <c r="A623" s="38">
        <v>10</v>
      </c>
      <c r="B623" s="34" t="s">
        <v>984</v>
      </c>
      <c r="C623" s="18">
        <v>10525000000</v>
      </c>
      <c r="D623" s="32" t="s">
        <v>1793</v>
      </c>
      <c r="E623" s="86">
        <v>6.0730000000000004</v>
      </c>
      <c r="F623" s="86">
        <v>9.0999999999999998E-2</v>
      </c>
      <c r="G623" s="86">
        <f t="shared" ref="G623:G667" si="145">F623+E623</f>
        <v>6.1640000000000006</v>
      </c>
      <c r="H623" s="86">
        <v>16567.242323999999</v>
      </c>
      <c r="I623" s="86"/>
      <c r="J623" s="5">
        <f t="shared" ref="J623:J667" si="146">H623+I623</f>
        <v>16567.242323999999</v>
      </c>
      <c r="K623" s="5">
        <f t="shared" ref="K623:K668" si="147">J623/G623</f>
        <v>2687.742103179753</v>
      </c>
      <c r="L623" s="5">
        <f t="shared" si="140"/>
        <v>0.7923987301788975</v>
      </c>
      <c r="M623" s="5">
        <f t="shared" si="143"/>
        <v>0</v>
      </c>
      <c r="N623" s="5">
        <f t="shared" si="144"/>
        <v>1799.8</v>
      </c>
    </row>
    <row r="624" spans="1:14" s="13" customFormat="1" ht="31.5" x14ac:dyDescent="0.25">
      <c r="A624" s="38">
        <v>10</v>
      </c>
      <c r="B624" s="34" t="s">
        <v>984</v>
      </c>
      <c r="C624" s="18">
        <v>10526000000</v>
      </c>
      <c r="D624" s="32" t="s">
        <v>1794</v>
      </c>
      <c r="E624" s="86">
        <v>25.391999999999999</v>
      </c>
      <c r="F624" s="86">
        <v>1.1919999999999999</v>
      </c>
      <c r="G624" s="86">
        <f t="shared" si="145"/>
        <v>26.584</v>
      </c>
      <c r="H624" s="86">
        <v>131124.61516799999</v>
      </c>
      <c r="I624" s="86"/>
      <c r="J624" s="5">
        <f t="shared" si="146"/>
        <v>131124.61516799999</v>
      </c>
      <c r="K624" s="5">
        <f t="shared" si="147"/>
        <v>4932.4637062894972</v>
      </c>
      <c r="L624" s="5">
        <f t="shared" si="140"/>
        <v>1.4541863867419953</v>
      </c>
      <c r="M624" s="5">
        <f t="shared" si="143"/>
        <v>15968.6</v>
      </c>
      <c r="N624" s="5">
        <f t="shared" si="144"/>
        <v>0</v>
      </c>
    </row>
    <row r="625" spans="1:14" s="12" customFormat="1" ht="31.5" x14ac:dyDescent="0.25">
      <c r="A625" s="38">
        <v>10</v>
      </c>
      <c r="B625" s="34" t="s">
        <v>986</v>
      </c>
      <c r="C625" s="18">
        <v>10527000000</v>
      </c>
      <c r="D625" s="32" t="s">
        <v>1795</v>
      </c>
      <c r="E625" s="86">
        <v>218.98099999999999</v>
      </c>
      <c r="F625" s="86">
        <v>3.2829999999999999</v>
      </c>
      <c r="G625" s="86">
        <f t="shared" si="145"/>
        <v>222.26399999999998</v>
      </c>
      <c r="H625" s="86">
        <v>717008.425606</v>
      </c>
      <c r="I625" s="86"/>
      <c r="J625" s="5">
        <f t="shared" si="146"/>
        <v>717008.425606</v>
      </c>
      <c r="K625" s="5">
        <f t="shared" si="147"/>
        <v>3225.9314401162583</v>
      </c>
      <c r="L625" s="5">
        <f t="shared" si="140"/>
        <v>0.95106743082535539</v>
      </c>
      <c r="M625" s="5">
        <f t="shared" si="143"/>
        <v>0</v>
      </c>
      <c r="N625" s="5">
        <f t="shared" si="144"/>
        <v>0</v>
      </c>
    </row>
    <row r="626" spans="1:14" ht="31.5" x14ac:dyDescent="0.25">
      <c r="A626" s="38">
        <v>10</v>
      </c>
      <c r="B626" s="34" t="s">
        <v>986</v>
      </c>
      <c r="C626" s="18">
        <v>10528000000</v>
      </c>
      <c r="D626" s="32" t="s">
        <v>1796</v>
      </c>
      <c r="E626" s="86">
        <v>80.765000000000001</v>
      </c>
      <c r="F626" s="86">
        <v>2.3410000000000002</v>
      </c>
      <c r="G626" s="86">
        <f t="shared" si="145"/>
        <v>83.105999999999995</v>
      </c>
      <c r="H626" s="86">
        <v>403300.69581800007</v>
      </c>
      <c r="I626" s="86"/>
      <c r="J626" s="5">
        <f t="shared" si="146"/>
        <v>403300.69581800007</v>
      </c>
      <c r="K626" s="5">
        <f t="shared" si="147"/>
        <v>4852.8469162034044</v>
      </c>
      <c r="L626" s="5">
        <f t="shared" si="140"/>
        <v>1.4307138060615412</v>
      </c>
      <c r="M626" s="5">
        <f t="shared" si="143"/>
        <v>46612.1</v>
      </c>
      <c r="N626" s="5">
        <f t="shared" si="144"/>
        <v>0</v>
      </c>
    </row>
    <row r="627" spans="1:14" ht="31.5" x14ac:dyDescent="0.25">
      <c r="A627" s="38">
        <v>10</v>
      </c>
      <c r="B627" s="34" t="s">
        <v>984</v>
      </c>
      <c r="C627" s="18">
        <v>10529000000</v>
      </c>
      <c r="D627" s="32" t="s">
        <v>2840</v>
      </c>
      <c r="E627" s="86">
        <v>21.893999999999998</v>
      </c>
      <c r="F627" s="86">
        <v>5.2919999999999998</v>
      </c>
      <c r="G627" s="86">
        <f t="shared" si="145"/>
        <v>27.186</v>
      </c>
      <c r="H627" s="86">
        <v>359617.80224999995</v>
      </c>
      <c r="I627" s="86"/>
      <c r="J627" s="5">
        <f t="shared" si="146"/>
        <v>359617.80224999995</v>
      </c>
      <c r="K627" s="5">
        <f t="shared" si="147"/>
        <v>13228.051285588168</v>
      </c>
      <c r="L627" s="5">
        <f t="shared" si="140"/>
        <v>3.8998872060830236</v>
      </c>
      <c r="M627" s="5">
        <f t="shared" si="143"/>
        <v>129092.1</v>
      </c>
      <c r="N627" s="5">
        <f t="shared" si="144"/>
        <v>0</v>
      </c>
    </row>
    <row r="628" spans="1:14" ht="15.75" x14ac:dyDescent="0.25">
      <c r="A628" s="38">
        <v>10</v>
      </c>
      <c r="B628" s="34" t="s">
        <v>983</v>
      </c>
      <c r="C628" s="18">
        <v>10530000000</v>
      </c>
      <c r="D628" s="32" t="s">
        <v>1797</v>
      </c>
      <c r="E628" s="86">
        <v>53.62</v>
      </c>
      <c r="F628" s="86">
        <v>1.607</v>
      </c>
      <c r="G628" s="86">
        <f t="shared" si="145"/>
        <v>55.226999999999997</v>
      </c>
      <c r="H628" s="86">
        <v>354603.71291400003</v>
      </c>
      <c r="I628" s="86"/>
      <c r="J628" s="5">
        <f t="shared" si="146"/>
        <v>354603.71291400003</v>
      </c>
      <c r="K628" s="5">
        <f t="shared" si="147"/>
        <v>6420.8396783095232</v>
      </c>
      <c r="L628" s="5">
        <f t="shared" si="140"/>
        <v>1.8929886173809274</v>
      </c>
      <c r="M628" s="5">
        <f t="shared" si="143"/>
        <v>74273.2</v>
      </c>
      <c r="N628" s="5">
        <f t="shared" si="144"/>
        <v>0</v>
      </c>
    </row>
    <row r="629" spans="1:14" ht="15.75" x14ac:dyDescent="0.25">
      <c r="A629" s="38">
        <v>10</v>
      </c>
      <c r="B629" s="34" t="s">
        <v>986</v>
      </c>
      <c r="C629" s="18">
        <v>10531000000</v>
      </c>
      <c r="D629" s="32" t="s">
        <v>1798</v>
      </c>
      <c r="E629" s="86">
        <v>119.57299999999999</v>
      </c>
      <c r="F629" s="86">
        <v>7.0190000000000001</v>
      </c>
      <c r="G629" s="86">
        <f t="shared" si="145"/>
        <v>126.592</v>
      </c>
      <c r="H629" s="86">
        <v>634795.99179799994</v>
      </c>
      <c r="I629" s="86"/>
      <c r="J629" s="5">
        <f t="shared" si="146"/>
        <v>634795.99179799994</v>
      </c>
      <c r="K629" s="5">
        <f t="shared" si="147"/>
        <v>5014.5032213567993</v>
      </c>
      <c r="L629" s="5">
        <f t="shared" si="140"/>
        <v>1.4783732339424445</v>
      </c>
      <c r="M629" s="5">
        <f t="shared" si="143"/>
        <v>81234.5</v>
      </c>
      <c r="N629" s="5">
        <f t="shared" si="144"/>
        <v>0</v>
      </c>
    </row>
    <row r="630" spans="1:14" ht="31.5" x14ac:dyDescent="0.25">
      <c r="A630" s="38">
        <v>10</v>
      </c>
      <c r="B630" s="34" t="s">
        <v>986</v>
      </c>
      <c r="C630" s="18">
        <v>10532000000</v>
      </c>
      <c r="D630" s="32" t="s">
        <v>1799</v>
      </c>
      <c r="E630" s="86">
        <v>45.405999999999999</v>
      </c>
      <c r="F630" s="86">
        <v>1.1299999999999999</v>
      </c>
      <c r="G630" s="86">
        <f t="shared" si="145"/>
        <v>46.536000000000001</v>
      </c>
      <c r="H630" s="86">
        <v>175203.35910200005</v>
      </c>
      <c r="I630" s="86"/>
      <c r="J630" s="5">
        <f t="shared" si="146"/>
        <v>175203.35910200005</v>
      </c>
      <c r="K630" s="5">
        <f t="shared" si="147"/>
        <v>3764.8994134003792</v>
      </c>
      <c r="L630" s="5">
        <f t="shared" ref="L630:L661" si="148">K630/$K$1659</f>
        <v>1.1099656886352005</v>
      </c>
      <c r="M630" s="5">
        <f t="shared" si="143"/>
        <v>786.5</v>
      </c>
      <c r="N630" s="5">
        <f t="shared" si="144"/>
        <v>0</v>
      </c>
    </row>
    <row r="631" spans="1:14" ht="31.5" x14ac:dyDescent="0.25">
      <c r="A631" s="38">
        <v>10</v>
      </c>
      <c r="B631" s="34" t="s">
        <v>983</v>
      </c>
      <c r="C631" s="18">
        <v>10533000000</v>
      </c>
      <c r="D631" s="32" t="s">
        <v>1800</v>
      </c>
      <c r="E631" s="86">
        <v>33.276000000000003</v>
      </c>
      <c r="F631" s="86">
        <v>1.6759999999999999</v>
      </c>
      <c r="G631" s="86">
        <f t="shared" si="145"/>
        <v>34.952000000000005</v>
      </c>
      <c r="H631" s="86">
        <v>244969.51234800002</v>
      </c>
      <c r="I631" s="86"/>
      <c r="J631" s="5">
        <f t="shared" si="146"/>
        <v>244969.51234800002</v>
      </c>
      <c r="K631" s="5">
        <f t="shared" si="147"/>
        <v>7008.7409117647057</v>
      </c>
      <c r="L631" s="5">
        <f t="shared" si="148"/>
        <v>2.0663133535263203</v>
      </c>
      <c r="M631" s="5">
        <f t="shared" ref="M631:M662" si="149">ROUND(IF(L631&lt;110%,0,(K631-$K$1659*1.1)*0.5)*G631,1)</f>
        <v>57280.1</v>
      </c>
      <c r="N631" s="5">
        <f t="shared" ref="N631:N667" si="150">ROUND(IF(L631&gt;90%,0,(-K631+$K$1659*0.9)*0.8)*G631,1)</f>
        <v>0</v>
      </c>
    </row>
    <row r="632" spans="1:14" ht="15.75" x14ac:dyDescent="0.25">
      <c r="A632" s="38">
        <v>10</v>
      </c>
      <c r="B632" s="34" t="s">
        <v>983</v>
      </c>
      <c r="C632" s="18">
        <v>10534000000</v>
      </c>
      <c r="D632" s="32" t="s">
        <v>1801</v>
      </c>
      <c r="E632" s="86">
        <v>48.356999999999999</v>
      </c>
      <c r="F632" s="86">
        <v>2.8180000000000001</v>
      </c>
      <c r="G632" s="86">
        <f t="shared" si="145"/>
        <v>51.174999999999997</v>
      </c>
      <c r="H632" s="86">
        <v>370219.55997599999</v>
      </c>
      <c r="I632" s="86"/>
      <c r="J632" s="5">
        <f t="shared" si="146"/>
        <v>370219.55997599999</v>
      </c>
      <c r="K632" s="5">
        <f t="shared" si="147"/>
        <v>7234.3831944504154</v>
      </c>
      <c r="L632" s="5">
        <f t="shared" si="148"/>
        <v>2.1328370940530976</v>
      </c>
      <c r="M632" s="5">
        <f t="shared" si="149"/>
        <v>89640.3</v>
      </c>
      <c r="N632" s="5">
        <f t="shared" si="150"/>
        <v>0</v>
      </c>
    </row>
    <row r="633" spans="1:14" ht="31.5" x14ac:dyDescent="0.25">
      <c r="A633" s="38">
        <v>10</v>
      </c>
      <c r="B633" s="34" t="s">
        <v>985</v>
      </c>
      <c r="C633" s="18">
        <v>10535000000</v>
      </c>
      <c r="D633" s="32" t="s">
        <v>1802</v>
      </c>
      <c r="E633" s="86">
        <v>15.67</v>
      </c>
      <c r="F633" s="86">
        <v>8.5000000000000006E-2</v>
      </c>
      <c r="G633" s="86">
        <f t="shared" si="145"/>
        <v>15.755000000000001</v>
      </c>
      <c r="H633" s="86">
        <v>57677.169672000004</v>
      </c>
      <c r="I633" s="86"/>
      <c r="J633" s="5">
        <f t="shared" si="146"/>
        <v>57677.169672000004</v>
      </c>
      <c r="K633" s="5">
        <f t="shared" si="147"/>
        <v>3660.8803346239288</v>
      </c>
      <c r="L633" s="5">
        <f t="shared" si="148"/>
        <v>1.0792988378836625</v>
      </c>
      <c r="M633" s="5">
        <f t="shared" si="149"/>
        <v>0</v>
      </c>
      <c r="N633" s="5">
        <f t="shared" si="150"/>
        <v>0</v>
      </c>
    </row>
    <row r="634" spans="1:14" ht="31.5" x14ac:dyDescent="0.25">
      <c r="A634" s="38">
        <v>10</v>
      </c>
      <c r="B634" s="34" t="s">
        <v>984</v>
      </c>
      <c r="C634" s="18">
        <v>10536000000</v>
      </c>
      <c r="D634" s="32" t="s">
        <v>1803</v>
      </c>
      <c r="E634" s="86">
        <v>13.805999999999999</v>
      </c>
      <c r="F634" s="86">
        <v>0.22900000000000001</v>
      </c>
      <c r="G634" s="86">
        <f t="shared" si="145"/>
        <v>14.034999999999998</v>
      </c>
      <c r="H634" s="86">
        <v>58783.391322000003</v>
      </c>
      <c r="I634" s="86"/>
      <c r="J634" s="5">
        <f t="shared" si="146"/>
        <v>58783.391322000003</v>
      </c>
      <c r="K634" s="5">
        <f t="shared" si="147"/>
        <v>4188.3428088350556</v>
      </c>
      <c r="L634" s="5">
        <f t="shared" si="148"/>
        <v>1.2348050504356203</v>
      </c>
      <c r="M634" s="5">
        <f t="shared" si="149"/>
        <v>3208.7</v>
      </c>
      <c r="N634" s="5">
        <f t="shared" si="150"/>
        <v>0</v>
      </c>
    </row>
    <row r="635" spans="1:14" ht="31.5" x14ac:dyDescent="0.25">
      <c r="A635" s="38">
        <v>10</v>
      </c>
      <c r="B635" s="34" t="s">
        <v>984</v>
      </c>
      <c r="C635" s="18">
        <v>10537000000</v>
      </c>
      <c r="D635" s="32" t="s">
        <v>1804</v>
      </c>
      <c r="E635" s="86">
        <v>9.4169999999999998</v>
      </c>
      <c r="F635" s="86">
        <v>0.38700000000000001</v>
      </c>
      <c r="G635" s="86">
        <f t="shared" si="145"/>
        <v>9.8040000000000003</v>
      </c>
      <c r="H635" s="86">
        <v>20369.952107999998</v>
      </c>
      <c r="I635" s="86"/>
      <c r="J635" s="5">
        <f t="shared" si="146"/>
        <v>20369.952107999998</v>
      </c>
      <c r="K635" s="5">
        <f t="shared" si="147"/>
        <v>2077.7184932680534</v>
      </c>
      <c r="L635" s="5">
        <f t="shared" si="148"/>
        <v>0.61255188650244896</v>
      </c>
      <c r="M635" s="5">
        <f t="shared" si="149"/>
        <v>0</v>
      </c>
      <c r="N635" s="5">
        <f t="shared" si="150"/>
        <v>7647.1</v>
      </c>
    </row>
    <row r="636" spans="1:14" ht="15.75" x14ac:dyDescent="0.25">
      <c r="A636" s="38">
        <v>10</v>
      </c>
      <c r="B636" s="34" t="s">
        <v>984</v>
      </c>
      <c r="C636" s="18">
        <v>10538000000</v>
      </c>
      <c r="D636" s="32" t="s">
        <v>1805</v>
      </c>
      <c r="E636" s="86">
        <v>6.1790000000000003</v>
      </c>
      <c r="F636" s="86">
        <v>0.22600000000000001</v>
      </c>
      <c r="G636" s="86">
        <f t="shared" si="145"/>
        <v>6.4050000000000002</v>
      </c>
      <c r="H636" s="86">
        <v>264093.34047599998</v>
      </c>
      <c r="I636" s="86"/>
      <c r="J636" s="5">
        <f t="shared" si="146"/>
        <v>264093.34047599998</v>
      </c>
      <c r="K636" s="5">
        <f t="shared" si="147"/>
        <v>41232.371659016389</v>
      </c>
      <c r="L636" s="5">
        <f t="shared" si="148"/>
        <v>12.156106386180255</v>
      </c>
      <c r="M636" s="5">
        <f t="shared" si="149"/>
        <v>120097.8</v>
      </c>
      <c r="N636" s="5">
        <f t="shared" si="150"/>
        <v>0</v>
      </c>
    </row>
    <row r="637" spans="1:14" ht="31.5" x14ac:dyDescent="0.25">
      <c r="A637" s="38">
        <v>10</v>
      </c>
      <c r="B637" s="34" t="s">
        <v>985</v>
      </c>
      <c r="C637" s="18">
        <v>10539000000</v>
      </c>
      <c r="D637" s="32" t="s">
        <v>1806</v>
      </c>
      <c r="E637" s="86">
        <v>28.649000000000001</v>
      </c>
      <c r="F637" s="86">
        <v>0.77400000000000002</v>
      </c>
      <c r="G637" s="86">
        <f t="shared" si="145"/>
        <v>29.423000000000002</v>
      </c>
      <c r="H637" s="86">
        <v>194839.45605000007</v>
      </c>
      <c r="I637" s="86"/>
      <c r="J637" s="5">
        <f t="shared" si="146"/>
        <v>194839.45605000007</v>
      </c>
      <c r="K637" s="5">
        <f t="shared" si="147"/>
        <v>6622.0118971552884</v>
      </c>
      <c r="L637" s="5">
        <f t="shared" si="148"/>
        <v>1.9522981064022387</v>
      </c>
      <c r="M637" s="5">
        <f t="shared" si="149"/>
        <v>42529.7</v>
      </c>
      <c r="N637" s="5">
        <f t="shared" si="150"/>
        <v>0</v>
      </c>
    </row>
    <row r="638" spans="1:14" ht="31.5" x14ac:dyDescent="0.25">
      <c r="A638" s="38">
        <v>10</v>
      </c>
      <c r="B638" s="34" t="s">
        <v>985</v>
      </c>
      <c r="C638" s="18">
        <v>10540000000</v>
      </c>
      <c r="D638" s="32" t="s">
        <v>2999</v>
      </c>
      <c r="E638" s="86">
        <v>13.565</v>
      </c>
      <c r="F638" s="86">
        <v>9.8000000000000004E-2</v>
      </c>
      <c r="G638" s="86">
        <f t="shared" si="145"/>
        <v>13.663</v>
      </c>
      <c r="H638" s="86">
        <v>34487.545529999996</v>
      </c>
      <c r="I638" s="86"/>
      <c r="J638" s="5">
        <f t="shared" si="146"/>
        <v>34487.545529999996</v>
      </c>
      <c r="K638" s="5">
        <f t="shared" si="147"/>
        <v>2524.1561538461533</v>
      </c>
      <c r="L638" s="5">
        <f t="shared" si="148"/>
        <v>0.74417040560352254</v>
      </c>
      <c r="M638" s="5">
        <f t="shared" si="149"/>
        <v>0</v>
      </c>
      <c r="N638" s="5">
        <f t="shared" si="150"/>
        <v>5777.4</v>
      </c>
    </row>
    <row r="639" spans="1:14" ht="31.5" x14ac:dyDescent="0.25">
      <c r="A639" s="38">
        <v>10</v>
      </c>
      <c r="B639" s="34" t="s">
        <v>985</v>
      </c>
      <c r="C639" s="18">
        <v>10541000000</v>
      </c>
      <c r="D639" s="32" t="s">
        <v>1808</v>
      </c>
      <c r="E639" s="86">
        <v>21.042000000000002</v>
      </c>
      <c r="F639" s="86">
        <v>0.20599999999999999</v>
      </c>
      <c r="G639" s="86">
        <f t="shared" si="145"/>
        <v>21.248000000000001</v>
      </c>
      <c r="H639" s="86">
        <v>40159.432787999998</v>
      </c>
      <c r="I639" s="86"/>
      <c r="J639" s="5">
        <f t="shared" si="146"/>
        <v>40159.432787999998</v>
      </c>
      <c r="K639" s="5">
        <f t="shared" si="147"/>
        <v>1890.0335461219877</v>
      </c>
      <c r="L639" s="5">
        <f t="shared" si="148"/>
        <v>0.55721870791500561</v>
      </c>
      <c r="M639" s="5">
        <f t="shared" si="149"/>
        <v>0</v>
      </c>
      <c r="N639" s="5">
        <f t="shared" si="150"/>
        <v>19763.7</v>
      </c>
    </row>
    <row r="640" spans="1:14" ht="31.5" x14ac:dyDescent="0.25">
      <c r="A640" s="38">
        <v>10</v>
      </c>
      <c r="B640" s="34" t="s">
        <v>984</v>
      </c>
      <c r="C640" s="18">
        <v>10542000000</v>
      </c>
      <c r="D640" s="32" t="s">
        <v>1809</v>
      </c>
      <c r="E640" s="86">
        <v>17.943999999999999</v>
      </c>
      <c r="F640" s="86">
        <v>0.252</v>
      </c>
      <c r="G640" s="86">
        <f t="shared" si="145"/>
        <v>18.195999999999998</v>
      </c>
      <c r="H640" s="86">
        <v>71442.738006</v>
      </c>
      <c r="I640" s="86"/>
      <c r="J640" s="5">
        <f t="shared" si="146"/>
        <v>71442.738006</v>
      </c>
      <c r="K640" s="5">
        <f t="shared" si="147"/>
        <v>3926.2880856232141</v>
      </c>
      <c r="L640" s="5">
        <f t="shared" si="148"/>
        <v>1.1575462131145908</v>
      </c>
      <c r="M640" s="5">
        <f t="shared" si="149"/>
        <v>1775.9</v>
      </c>
      <c r="N640" s="5">
        <f t="shared" si="150"/>
        <v>0</v>
      </c>
    </row>
    <row r="641" spans="1:14" ht="15.75" x14ac:dyDescent="0.25">
      <c r="A641" s="38">
        <v>10</v>
      </c>
      <c r="B641" s="34" t="s">
        <v>985</v>
      </c>
      <c r="C641" s="18">
        <v>10543000000</v>
      </c>
      <c r="D641" s="32" t="s">
        <v>1810</v>
      </c>
      <c r="E641" s="86">
        <v>15.227</v>
      </c>
      <c r="F641" s="86">
        <v>0.14499999999999999</v>
      </c>
      <c r="G641" s="86">
        <f t="shared" si="145"/>
        <v>15.372</v>
      </c>
      <c r="H641" s="86">
        <v>73568.987999999998</v>
      </c>
      <c r="I641" s="86"/>
      <c r="J641" s="5">
        <f t="shared" si="146"/>
        <v>73568.987999999998</v>
      </c>
      <c r="K641" s="5">
        <f t="shared" si="147"/>
        <v>4785.9086651053867</v>
      </c>
      <c r="L641" s="5">
        <f t="shared" si="148"/>
        <v>1.4109791056571706</v>
      </c>
      <c r="M641" s="5">
        <f t="shared" si="149"/>
        <v>8107.3</v>
      </c>
      <c r="N641" s="5">
        <f t="shared" si="150"/>
        <v>0</v>
      </c>
    </row>
    <row r="642" spans="1:14" ht="31.5" x14ac:dyDescent="0.25">
      <c r="A642" s="38">
        <v>10</v>
      </c>
      <c r="B642" s="34" t="s">
        <v>984</v>
      </c>
      <c r="C642" s="18">
        <v>10544000000</v>
      </c>
      <c r="D642" s="32" t="s">
        <v>1811</v>
      </c>
      <c r="E642" s="86">
        <v>5.851</v>
      </c>
      <c r="F642" s="86">
        <v>0.30199999999999999</v>
      </c>
      <c r="G642" s="86">
        <f t="shared" si="145"/>
        <v>6.1529999999999996</v>
      </c>
      <c r="H642" s="86">
        <v>20361.276288000001</v>
      </c>
      <c r="I642" s="86"/>
      <c r="J642" s="5">
        <f t="shared" si="146"/>
        <v>20361.276288000001</v>
      </c>
      <c r="K642" s="5">
        <f t="shared" si="147"/>
        <v>3309.1624066309123</v>
      </c>
      <c r="L642" s="5">
        <f t="shared" si="148"/>
        <v>0.9756055411223773</v>
      </c>
      <c r="M642" s="5">
        <f t="shared" si="149"/>
        <v>0</v>
      </c>
      <c r="N642" s="5">
        <f t="shared" si="150"/>
        <v>0</v>
      </c>
    </row>
    <row r="643" spans="1:14" ht="31.5" x14ac:dyDescent="0.25">
      <c r="A643" s="38">
        <v>10</v>
      </c>
      <c r="B643" s="34" t="s">
        <v>985</v>
      </c>
      <c r="C643" s="18">
        <v>10545000000</v>
      </c>
      <c r="D643" s="32" t="s">
        <v>1812</v>
      </c>
      <c r="E643" s="86">
        <v>28.797999999999998</v>
      </c>
      <c r="F643" s="86">
        <v>0.223</v>
      </c>
      <c r="G643" s="86">
        <f t="shared" si="145"/>
        <v>29.020999999999997</v>
      </c>
      <c r="H643" s="86">
        <v>136937.424</v>
      </c>
      <c r="I643" s="86"/>
      <c r="J643" s="5">
        <f t="shared" si="146"/>
        <v>136937.424</v>
      </c>
      <c r="K643" s="5">
        <f t="shared" si="147"/>
        <v>4718.5632473036767</v>
      </c>
      <c r="L643" s="5">
        <f t="shared" si="148"/>
        <v>1.391124364576801</v>
      </c>
      <c r="M643" s="5">
        <f t="shared" si="149"/>
        <v>14328.6</v>
      </c>
      <c r="N643" s="5">
        <f t="shared" si="150"/>
        <v>0</v>
      </c>
    </row>
    <row r="644" spans="1:14" ht="15.75" x14ac:dyDescent="0.25">
      <c r="A644" s="38">
        <v>10</v>
      </c>
      <c r="B644" s="34" t="s">
        <v>986</v>
      </c>
      <c r="C644" s="18">
        <v>10546000000</v>
      </c>
      <c r="D644" s="32" t="s">
        <v>1813</v>
      </c>
      <c r="E644" s="86">
        <v>69.962000000000003</v>
      </c>
      <c r="F644" s="86">
        <v>8.5389999999999997</v>
      </c>
      <c r="G644" s="86">
        <f t="shared" si="145"/>
        <v>78.501000000000005</v>
      </c>
      <c r="H644" s="86">
        <v>253276.10928000003</v>
      </c>
      <c r="I644" s="86"/>
      <c r="J644" s="5">
        <f t="shared" si="146"/>
        <v>253276.10928000003</v>
      </c>
      <c r="K644" s="5">
        <f t="shared" si="147"/>
        <v>3226.4061512592198</v>
      </c>
      <c r="L644" s="5">
        <f t="shared" si="148"/>
        <v>0.95120738491784051</v>
      </c>
      <c r="M644" s="5">
        <f t="shared" si="149"/>
        <v>0</v>
      </c>
      <c r="N644" s="5">
        <f t="shared" si="150"/>
        <v>0</v>
      </c>
    </row>
    <row r="645" spans="1:14" ht="15.75" x14ac:dyDescent="0.25">
      <c r="A645" s="38">
        <v>10</v>
      </c>
      <c r="B645" s="34" t="s">
        <v>983</v>
      </c>
      <c r="C645" s="18">
        <v>10547000000</v>
      </c>
      <c r="D645" s="32" t="s">
        <v>1814</v>
      </c>
      <c r="E645" s="86">
        <v>26.849</v>
      </c>
      <c r="F645" s="86">
        <v>0.317</v>
      </c>
      <c r="G645" s="86">
        <f t="shared" si="145"/>
        <v>27.166</v>
      </c>
      <c r="H645" s="86">
        <v>85487.188338000007</v>
      </c>
      <c r="I645" s="86"/>
      <c r="J645" s="5">
        <f t="shared" si="146"/>
        <v>85487.188338000007</v>
      </c>
      <c r="K645" s="5">
        <f t="shared" si="147"/>
        <v>3146.8448920709711</v>
      </c>
      <c r="L645" s="5">
        <f t="shared" si="148"/>
        <v>0.9277511758278324</v>
      </c>
      <c r="M645" s="5">
        <f t="shared" si="149"/>
        <v>0</v>
      </c>
      <c r="N645" s="5">
        <f t="shared" si="150"/>
        <v>0</v>
      </c>
    </row>
    <row r="646" spans="1:14" ht="31.5" x14ac:dyDescent="0.25">
      <c r="A646" s="38">
        <v>10</v>
      </c>
      <c r="B646" s="34" t="s">
        <v>985</v>
      </c>
      <c r="C646" s="18">
        <v>10548000000</v>
      </c>
      <c r="D646" s="32" t="s">
        <v>2498</v>
      </c>
      <c r="E646" s="86">
        <v>8.468</v>
      </c>
      <c r="F646" s="86">
        <v>7.0000000000000007E-2</v>
      </c>
      <c r="G646" s="86">
        <f t="shared" si="145"/>
        <v>8.5380000000000003</v>
      </c>
      <c r="H646" s="86">
        <v>84978.880938000017</v>
      </c>
      <c r="I646" s="86"/>
      <c r="J646" s="5">
        <f t="shared" si="146"/>
        <v>84978.880938000017</v>
      </c>
      <c r="K646" s="5">
        <f t="shared" si="147"/>
        <v>9953.0195523541825</v>
      </c>
      <c r="L646" s="5">
        <f t="shared" si="148"/>
        <v>2.9343440523555824</v>
      </c>
      <c r="M646" s="5">
        <f t="shared" si="149"/>
        <v>26561.4</v>
      </c>
      <c r="N646" s="5">
        <f t="shared" si="150"/>
        <v>0</v>
      </c>
    </row>
    <row r="647" spans="1:14" ht="31.5" x14ac:dyDescent="0.25">
      <c r="A647" s="38">
        <v>10</v>
      </c>
      <c r="B647" s="34" t="s">
        <v>985</v>
      </c>
      <c r="C647" s="18">
        <v>10549000000</v>
      </c>
      <c r="D647" s="32" t="s">
        <v>1815</v>
      </c>
      <c r="E647" s="86">
        <v>8.0500000000000007</v>
      </c>
      <c r="F647" s="86">
        <v>6.8000000000000005E-2</v>
      </c>
      <c r="G647" s="86">
        <f t="shared" si="145"/>
        <v>8.1180000000000003</v>
      </c>
      <c r="H647" s="86">
        <v>15136.729722</v>
      </c>
      <c r="I647" s="86"/>
      <c r="J647" s="5">
        <f t="shared" si="146"/>
        <v>15136.729722</v>
      </c>
      <c r="K647" s="5">
        <f t="shared" si="147"/>
        <v>1864.5885343680709</v>
      </c>
      <c r="L647" s="5">
        <f t="shared" si="148"/>
        <v>0.54971702277217238</v>
      </c>
      <c r="M647" s="5">
        <f t="shared" si="149"/>
        <v>0</v>
      </c>
      <c r="N647" s="5">
        <f t="shared" si="150"/>
        <v>7716.2</v>
      </c>
    </row>
    <row r="648" spans="1:14" ht="31.5" x14ac:dyDescent="0.25">
      <c r="A648" s="38">
        <v>10</v>
      </c>
      <c r="B648" s="34" t="s">
        <v>985</v>
      </c>
      <c r="C648" s="18">
        <v>10550000000</v>
      </c>
      <c r="D648" s="32" t="s">
        <v>1816</v>
      </c>
      <c r="E648" s="86">
        <v>5.6459999999999999</v>
      </c>
      <c r="F648" s="86">
        <v>0.38300000000000001</v>
      </c>
      <c r="G648" s="86">
        <f t="shared" si="145"/>
        <v>6.0289999999999999</v>
      </c>
      <c r="H648" s="86">
        <v>30090.489018</v>
      </c>
      <c r="I648" s="86"/>
      <c r="J648" s="5">
        <f t="shared" si="146"/>
        <v>30090.489018</v>
      </c>
      <c r="K648" s="5">
        <f t="shared" si="147"/>
        <v>4990.9585367390946</v>
      </c>
      <c r="L648" s="5">
        <f t="shared" si="148"/>
        <v>1.4714318022584076</v>
      </c>
      <c r="M648" s="5">
        <f t="shared" si="149"/>
        <v>3797.9</v>
      </c>
      <c r="N648" s="5">
        <f t="shared" si="150"/>
        <v>0</v>
      </c>
    </row>
    <row r="649" spans="1:14" ht="31.5" x14ac:dyDescent="0.25">
      <c r="A649" s="38">
        <v>10</v>
      </c>
      <c r="B649" s="34" t="s">
        <v>985</v>
      </c>
      <c r="C649" s="18">
        <v>10551000000</v>
      </c>
      <c r="D649" s="32" t="s">
        <v>1817</v>
      </c>
      <c r="E649" s="86">
        <v>17.248999999999999</v>
      </c>
      <c r="F649" s="86">
        <v>0.65200000000000002</v>
      </c>
      <c r="G649" s="86">
        <f t="shared" si="145"/>
        <v>17.901</v>
      </c>
      <c r="H649" s="83">
        <v>18165.571997999999</v>
      </c>
      <c r="I649" s="83"/>
      <c r="J649" s="5">
        <f t="shared" si="146"/>
        <v>18165.571997999999</v>
      </c>
      <c r="K649" s="5">
        <f t="shared" si="147"/>
        <v>1014.7797328640858</v>
      </c>
      <c r="L649" s="5">
        <f t="shared" si="148"/>
        <v>0.2991768335144484</v>
      </c>
      <c r="M649" s="5">
        <f t="shared" si="149"/>
        <v>0</v>
      </c>
      <c r="N649" s="5">
        <f t="shared" si="150"/>
        <v>29184.9</v>
      </c>
    </row>
    <row r="650" spans="1:14" ht="31.5" x14ac:dyDescent="0.25">
      <c r="A650" s="38">
        <v>10</v>
      </c>
      <c r="B650" s="34" t="s">
        <v>985</v>
      </c>
      <c r="C650" s="18">
        <v>10552000000</v>
      </c>
      <c r="D650" s="32" t="s">
        <v>3000</v>
      </c>
      <c r="E650" s="86">
        <v>27.352</v>
      </c>
      <c r="F650" s="86">
        <v>0.60199999999999998</v>
      </c>
      <c r="G650" s="86">
        <f t="shared" si="145"/>
        <v>27.954000000000001</v>
      </c>
      <c r="H650" s="86">
        <v>176883.25204200001</v>
      </c>
      <c r="I650" s="86"/>
      <c r="J650" s="5">
        <f t="shared" si="146"/>
        <v>176883.25204200001</v>
      </c>
      <c r="K650" s="5">
        <f t="shared" si="147"/>
        <v>6327.6544337840742</v>
      </c>
      <c r="L650" s="5">
        <f t="shared" si="148"/>
        <v>1.8655157920134864</v>
      </c>
      <c r="M650" s="5">
        <f t="shared" si="149"/>
        <v>36292.1</v>
      </c>
      <c r="N650" s="5">
        <f t="shared" si="150"/>
        <v>0</v>
      </c>
    </row>
    <row r="651" spans="1:14" ht="31.5" x14ac:dyDescent="0.25">
      <c r="A651" s="38">
        <v>10</v>
      </c>
      <c r="B651" s="34" t="s">
        <v>984</v>
      </c>
      <c r="C651" s="18">
        <v>10553000000</v>
      </c>
      <c r="D651" s="32" t="s">
        <v>3001</v>
      </c>
      <c r="E651" s="86">
        <v>10.635999999999999</v>
      </c>
      <c r="F651" s="86">
        <v>4.1000000000000002E-2</v>
      </c>
      <c r="G651" s="86">
        <f t="shared" si="145"/>
        <v>10.677</v>
      </c>
      <c r="H651" s="86">
        <v>22108.083684000001</v>
      </c>
      <c r="I651" s="86"/>
      <c r="J651" s="5">
        <f t="shared" si="146"/>
        <v>22108.083684000001</v>
      </c>
      <c r="K651" s="5">
        <f t="shared" si="147"/>
        <v>2070.6269255408824</v>
      </c>
      <c r="L651" s="5">
        <f t="shared" si="148"/>
        <v>0.61046115419024538</v>
      </c>
      <c r="M651" s="5">
        <f t="shared" si="149"/>
        <v>0</v>
      </c>
      <c r="N651" s="5">
        <f t="shared" si="150"/>
        <v>8388.6</v>
      </c>
    </row>
    <row r="652" spans="1:14" ht="31.5" x14ac:dyDescent="0.25">
      <c r="A652" s="38">
        <v>10</v>
      </c>
      <c r="B652" s="34" t="s">
        <v>985</v>
      </c>
      <c r="C652" s="18">
        <v>10554000000</v>
      </c>
      <c r="D652" s="32" t="s">
        <v>1820</v>
      </c>
      <c r="E652" s="86">
        <v>15.183999999999999</v>
      </c>
      <c r="F652" s="86">
        <v>0.36199999999999999</v>
      </c>
      <c r="G652" s="86">
        <f t="shared" si="145"/>
        <v>15.545999999999999</v>
      </c>
      <c r="H652" s="86">
        <v>26194.044156</v>
      </c>
      <c r="I652" s="86"/>
      <c r="J652" s="5">
        <f t="shared" si="146"/>
        <v>26194.044156</v>
      </c>
      <c r="K652" s="5">
        <f t="shared" si="147"/>
        <v>1684.9378718641451</v>
      </c>
      <c r="L652" s="5">
        <f t="shared" si="148"/>
        <v>0.49675250780792257</v>
      </c>
      <c r="M652" s="5">
        <f t="shared" si="149"/>
        <v>0</v>
      </c>
      <c r="N652" s="5">
        <f t="shared" si="150"/>
        <v>17010.8</v>
      </c>
    </row>
    <row r="653" spans="1:14" ht="31.5" x14ac:dyDescent="0.25">
      <c r="A653" s="38">
        <v>10</v>
      </c>
      <c r="B653" s="34" t="s">
        <v>986</v>
      </c>
      <c r="C653" s="18">
        <v>10555000000</v>
      </c>
      <c r="D653" s="32" t="s">
        <v>1821</v>
      </c>
      <c r="E653" s="86">
        <v>31.946999999999999</v>
      </c>
      <c r="F653" s="86">
        <v>0.47299999999999998</v>
      </c>
      <c r="G653" s="86">
        <f t="shared" si="145"/>
        <v>32.42</v>
      </c>
      <c r="H653" s="86">
        <v>130785.16275999999</v>
      </c>
      <c r="I653" s="86"/>
      <c r="J653" s="5">
        <f t="shared" si="146"/>
        <v>130785.16275999999</v>
      </c>
      <c r="K653" s="5">
        <f t="shared" si="147"/>
        <v>4034.0889191856872</v>
      </c>
      <c r="L653" s="5">
        <f t="shared" si="148"/>
        <v>1.1893279988469616</v>
      </c>
      <c r="M653" s="5">
        <f t="shared" si="149"/>
        <v>4911.5</v>
      </c>
      <c r="N653" s="5">
        <f t="shared" si="150"/>
        <v>0</v>
      </c>
    </row>
    <row r="654" spans="1:14" ht="15.75" x14ac:dyDescent="0.25">
      <c r="A654" s="38">
        <v>10</v>
      </c>
      <c r="B654" s="34" t="s">
        <v>984</v>
      </c>
      <c r="C654" s="18">
        <v>10556000000</v>
      </c>
      <c r="D654" s="32" t="s">
        <v>1822</v>
      </c>
      <c r="E654" s="86">
        <v>12.000999999999999</v>
      </c>
      <c r="F654" s="86">
        <v>0.33900000000000002</v>
      </c>
      <c r="G654" s="86">
        <f t="shared" si="145"/>
        <v>12.34</v>
      </c>
      <c r="H654" s="86">
        <v>72766.654469999979</v>
      </c>
      <c r="I654" s="86"/>
      <c r="J654" s="5">
        <f t="shared" si="146"/>
        <v>72766.654469999979</v>
      </c>
      <c r="K654" s="5">
        <f t="shared" si="147"/>
        <v>5896.8115453808732</v>
      </c>
      <c r="L654" s="5">
        <f t="shared" si="148"/>
        <v>1.7384949155412202</v>
      </c>
      <c r="M654" s="5">
        <f t="shared" si="149"/>
        <v>13362.5</v>
      </c>
      <c r="N654" s="5">
        <f t="shared" si="150"/>
        <v>0</v>
      </c>
    </row>
    <row r="655" spans="1:14" ht="15.75" x14ac:dyDescent="0.25">
      <c r="A655" s="38">
        <v>10</v>
      </c>
      <c r="B655" s="34" t="s">
        <v>984</v>
      </c>
      <c r="C655" s="18">
        <v>10557000000</v>
      </c>
      <c r="D655" s="32" t="s">
        <v>1823</v>
      </c>
      <c r="E655" s="86">
        <v>6.7640000000000002</v>
      </c>
      <c r="F655" s="86">
        <v>0.10299999999999999</v>
      </c>
      <c r="G655" s="86">
        <f t="shared" si="145"/>
        <v>6.867</v>
      </c>
      <c r="H655" s="86">
        <v>14018.130660000003</v>
      </c>
      <c r="I655" s="86"/>
      <c r="J655" s="5">
        <f t="shared" si="146"/>
        <v>14018.130660000003</v>
      </c>
      <c r="K655" s="5">
        <f t="shared" si="147"/>
        <v>2041.3762429008304</v>
      </c>
      <c r="L655" s="5">
        <f t="shared" si="148"/>
        <v>0.60183748313437213</v>
      </c>
      <c r="M655" s="5">
        <f t="shared" si="149"/>
        <v>0</v>
      </c>
      <c r="N655" s="5">
        <f t="shared" si="150"/>
        <v>5555.9</v>
      </c>
    </row>
    <row r="656" spans="1:14" ht="15.75" x14ac:dyDescent="0.25">
      <c r="A656" s="38">
        <v>10</v>
      </c>
      <c r="B656" s="34" t="s">
        <v>985</v>
      </c>
      <c r="C656" s="18">
        <v>10558000000</v>
      </c>
      <c r="D656" s="32" t="s">
        <v>2839</v>
      </c>
      <c r="E656" s="86">
        <v>5.391</v>
      </c>
      <c r="F656" s="86">
        <v>5.6000000000000001E-2</v>
      </c>
      <c r="G656" s="86">
        <f t="shared" si="145"/>
        <v>5.4470000000000001</v>
      </c>
      <c r="H656" s="86">
        <v>11187.645</v>
      </c>
      <c r="I656" s="86"/>
      <c r="J656" s="5">
        <f t="shared" si="146"/>
        <v>11187.645</v>
      </c>
      <c r="K656" s="5">
        <f t="shared" si="147"/>
        <v>2053.909491463191</v>
      </c>
      <c r="L656" s="5">
        <f t="shared" si="148"/>
        <v>0.60553252896264631</v>
      </c>
      <c r="M656" s="5">
        <f t="shared" si="149"/>
        <v>0</v>
      </c>
      <c r="N656" s="5">
        <f t="shared" si="150"/>
        <v>4352.3999999999996</v>
      </c>
    </row>
    <row r="657" spans="1:14" ht="31.5" x14ac:dyDescent="0.25">
      <c r="A657" s="38">
        <v>10</v>
      </c>
      <c r="B657" s="34" t="s">
        <v>984</v>
      </c>
      <c r="C657" s="18">
        <v>10559000000</v>
      </c>
      <c r="D657" s="32" t="s">
        <v>1824</v>
      </c>
      <c r="E657" s="86">
        <v>10.994</v>
      </c>
      <c r="F657" s="86">
        <v>0.871</v>
      </c>
      <c r="G657" s="86">
        <f t="shared" si="145"/>
        <v>11.865</v>
      </c>
      <c r="H657" s="86">
        <v>164779.43825400001</v>
      </c>
      <c r="I657" s="86"/>
      <c r="J657" s="5">
        <f t="shared" si="146"/>
        <v>164779.43825400001</v>
      </c>
      <c r="K657" s="5">
        <f t="shared" si="147"/>
        <v>13887.858259924147</v>
      </c>
      <c r="L657" s="5">
        <f t="shared" si="148"/>
        <v>4.0944111553891984</v>
      </c>
      <c r="M657" s="5">
        <f t="shared" si="149"/>
        <v>60255</v>
      </c>
      <c r="N657" s="5">
        <f t="shared" si="150"/>
        <v>0</v>
      </c>
    </row>
    <row r="658" spans="1:14" ht="31.5" x14ac:dyDescent="0.25">
      <c r="A658" s="38">
        <v>10</v>
      </c>
      <c r="B658" s="34" t="s">
        <v>985</v>
      </c>
      <c r="C658" s="18">
        <v>10560000000</v>
      </c>
      <c r="D658" s="32" t="s">
        <v>1825</v>
      </c>
      <c r="E658" s="86">
        <v>25.279</v>
      </c>
      <c r="F658" s="86">
        <v>0.20300000000000001</v>
      </c>
      <c r="G658" s="86">
        <f t="shared" si="145"/>
        <v>25.481999999999999</v>
      </c>
      <c r="H658" s="86">
        <v>93517.870999999999</v>
      </c>
      <c r="I658" s="86"/>
      <c r="J658" s="5">
        <f t="shared" si="146"/>
        <v>93517.870999999999</v>
      </c>
      <c r="K658" s="5">
        <f t="shared" si="147"/>
        <v>3669.9580488187739</v>
      </c>
      <c r="L658" s="5">
        <f t="shared" si="148"/>
        <v>1.0819751248653682</v>
      </c>
      <c r="M658" s="5">
        <f t="shared" si="149"/>
        <v>0</v>
      </c>
      <c r="N658" s="5">
        <f t="shared" si="150"/>
        <v>0</v>
      </c>
    </row>
    <row r="659" spans="1:14" s="13" customFormat="1" ht="15.75" x14ac:dyDescent="0.25">
      <c r="A659" s="38">
        <v>10</v>
      </c>
      <c r="B659" s="34" t="s">
        <v>983</v>
      </c>
      <c r="C659" s="18">
        <v>10561000000</v>
      </c>
      <c r="D659" s="32" t="s">
        <v>1826</v>
      </c>
      <c r="E659" s="86">
        <v>31.695</v>
      </c>
      <c r="F659" s="86">
        <v>0.23200000000000001</v>
      </c>
      <c r="G659" s="86">
        <f t="shared" si="145"/>
        <v>31.927</v>
      </c>
      <c r="H659" s="86">
        <v>107269.61377799998</v>
      </c>
      <c r="I659" s="86"/>
      <c r="J659" s="5">
        <f t="shared" si="146"/>
        <v>107269.61377799998</v>
      </c>
      <c r="K659" s="5">
        <f t="shared" si="147"/>
        <v>3359.8400657124062</v>
      </c>
      <c r="L659" s="5">
        <f t="shared" si="148"/>
        <v>0.99054630223822493</v>
      </c>
      <c r="M659" s="5">
        <f t="shared" si="149"/>
        <v>0</v>
      </c>
      <c r="N659" s="5">
        <f t="shared" si="150"/>
        <v>0</v>
      </c>
    </row>
    <row r="660" spans="1:14" s="13" customFormat="1" ht="15.75" x14ac:dyDescent="0.25">
      <c r="A660" s="38">
        <v>10</v>
      </c>
      <c r="B660" s="34" t="s">
        <v>986</v>
      </c>
      <c r="C660" s="18">
        <v>10562000000</v>
      </c>
      <c r="D660" s="32" t="s">
        <v>1827</v>
      </c>
      <c r="E660" s="86">
        <v>24.684999999999999</v>
      </c>
      <c r="F660" s="86">
        <v>0.17699999999999999</v>
      </c>
      <c r="G660" s="86">
        <f t="shared" si="145"/>
        <v>24.861999999999998</v>
      </c>
      <c r="H660" s="83">
        <v>195987.66900999998</v>
      </c>
      <c r="I660" s="83"/>
      <c r="J660" s="5">
        <f t="shared" si="146"/>
        <v>195987.66900999998</v>
      </c>
      <c r="K660" s="5">
        <f t="shared" si="147"/>
        <v>7883.0210365215989</v>
      </c>
      <c r="L660" s="5">
        <f t="shared" si="148"/>
        <v>2.3240681655889857</v>
      </c>
      <c r="M660" s="5">
        <f t="shared" si="149"/>
        <v>51612.6</v>
      </c>
      <c r="N660" s="5">
        <f t="shared" si="150"/>
        <v>0</v>
      </c>
    </row>
    <row r="661" spans="1:14" s="13" customFormat="1" ht="31.5" x14ac:dyDescent="0.25">
      <c r="A661" s="38">
        <v>10</v>
      </c>
      <c r="B661" s="34" t="s">
        <v>985</v>
      </c>
      <c r="C661" s="18">
        <v>10563000000</v>
      </c>
      <c r="D661" s="32" t="s">
        <v>1828</v>
      </c>
      <c r="E661" s="86">
        <v>20.599</v>
      </c>
      <c r="F661" s="86">
        <v>0.12</v>
      </c>
      <c r="G661" s="86">
        <f t="shared" si="145"/>
        <v>20.719000000000001</v>
      </c>
      <c r="H661" s="86">
        <v>75225.332999999999</v>
      </c>
      <c r="I661" s="86"/>
      <c r="J661" s="5">
        <f t="shared" si="146"/>
        <v>75225.332999999999</v>
      </c>
      <c r="K661" s="5">
        <f t="shared" si="147"/>
        <v>3630.7414933153141</v>
      </c>
      <c r="L661" s="5">
        <f t="shared" si="148"/>
        <v>1.0704133203506538</v>
      </c>
      <c r="M661" s="5">
        <f t="shared" si="149"/>
        <v>0</v>
      </c>
      <c r="N661" s="5">
        <f t="shared" si="150"/>
        <v>0</v>
      </c>
    </row>
    <row r="662" spans="1:14" s="13" customFormat="1" ht="15.75" x14ac:dyDescent="0.25">
      <c r="A662" s="38">
        <v>10</v>
      </c>
      <c r="B662" s="34" t="s">
        <v>983</v>
      </c>
      <c r="C662" s="18">
        <v>10564000000</v>
      </c>
      <c r="D662" s="32" t="s">
        <v>1829</v>
      </c>
      <c r="E662" s="86">
        <v>26.01</v>
      </c>
      <c r="F662" s="86">
        <v>0.23100000000000001</v>
      </c>
      <c r="G662" s="86">
        <f t="shared" si="145"/>
        <v>26.241000000000003</v>
      </c>
      <c r="H662" s="86">
        <v>75042.293999999994</v>
      </c>
      <c r="I662" s="86"/>
      <c r="J662" s="5">
        <f t="shared" si="146"/>
        <v>75042.293999999994</v>
      </c>
      <c r="K662" s="5">
        <f t="shared" si="147"/>
        <v>2859.7345375557329</v>
      </c>
      <c r="L662" s="5">
        <f t="shared" ref="L662:L668" si="151">K662/$K$1659</f>
        <v>0.84310545030605144</v>
      </c>
      <c r="M662" s="5">
        <f t="shared" si="149"/>
        <v>0</v>
      </c>
      <c r="N662" s="5">
        <f t="shared" si="150"/>
        <v>4051.2</v>
      </c>
    </row>
    <row r="663" spans="1:14" s="13" customFormat="1" ht="15.75" x14ac:dyDescent="0.25">
      <c r="A663" s="38">
        <v>10</v>
      </c>
      <c r="B663" s="34" t="s">
        <v>983</v>
      </c>
      <c r="C663" s="18">
        <v>10565000000</v>
      </c>
      <c r="D663" s="32" t="s">
        <v>1830</v>
      </c>
      <c r="E663" s="86">
        <v>20.806000000000001</v>
      </c>
      <c r="F663" s="86">
        <v>1.496</v>
      </c>
      <c r="G663" s="86">
        <f t="shared" si="145"/>
        <v>22.302</v>
      </c>
      <c r="H663" s="86">
        <v>116912.01988800001</v>
      </c>
      <c r="I663" s="86"/>
      <c r="J663" s="5">
        <f t="shared" si="146"/>
        <v>116912.01988800001</v>
      </c>
      <c r="K663" s="5">
        <f t="shared" si="147"/>
        <v>5242.2213204196942</v>
      </c>
      <c r="L663" s="5">
        <f t="shared" si="151"/>
        <v>1.5455089655748488</v>
      </c>
      <c r="M663" s="5">
        <f>ROUND(IF(L663&lt;110%,0,(K663-$K$1659*1.1)*0.5)*G663,1)</f>
        <v>16850.599999999999</v>
      </c>
      <c r="N663" s="5">
        <f t="shared" si="150"/>
        <v>0</v>
      </c>
    </row>
    <row r="664" spans="1:14" s="13" customFormat="1" ht="15.75" x14ac:dyDescent="0.25">
      <c r="A664" s="38">
        <v>10</v>
      </c>
      <c r="B664" s="34" t="s">
        <v>986</v>
      </c>
      <c r="C664" s="18">
        <v>10566000000</v>
      </c>
      <c r="D664" s="32" t="s">
        <v>1831</v>
      </c>
      <c r="E664" s="86">
        <v>62.72</v>
      </c>
      <c r="F664" s="86">
        <v>0.50700000000000001</v>
      </c>
      <c r="G664" s="86">
        <f t="shared" si="145"/>
        <v>63.226999999999997</v>
      </c>
      <c r="H664" s="86">
        <v>201591.10177199999</v>
      </c>
      <c r="I664" s="86"/>
      <c r="J664" s="5">
        <f t="shared" si="146"/>
        <v>201591.10177199999</v>
      </c>
      <c r="K664" s="5">
        <f t="shared" si="147"/>
        <v>3188.3705026650009</v>
      </c>
      <c r="L664" s="5">
        <f t="shared" si="151"/>
        <v>0.93999373476445225</v>
      </c>
      <c r="M664" s="5">
        <f>ROUND(IF(L664&lt;110%,0,(K664-$K$1659*1.1)*0.5)*G664,1)</f>
        <v>0</v>
      </c>
      <c r="N664" s="5">
        <f t="shared" si="150"/>
        <v>0</v>
      </c>
    </row>
    <row r="665" spans="1:14" s="13" customFormat="1" ht="31.5" x14ac:dyDescent="0.25">
      <c r="A665" s="38">
        <v>10</v>
      </c>
      <c r="B665" s="34" t="s">
        <v>984</v>
      </c>
      <c r="C665" s="18">
        <v>10567000000</v>
      </c>
      <c r="D665" s="32" t="s">
        <v>1832</v>
      </c>
      <c r="E665" s="86">
        <v>15.2</v>
      </c>
      <c r="F665" s="86">
        <v>0.32500000000000001</v>
      </c>
      <c r="G665" s="86">
        <f t="shared" si="145"/>
        <v>15.524999999999999</v>
      </c>
      <c r="H665" s="86">
        <v>61233.731477999994</v>
      </c>
      <c r="I665" s="86"/>
      <c r="J665" s="5">
        <f t="shared" si="146"/>
        <v>61233.731477999994</v>
      </c>
      <c r="K665" s="5">
        <f t="shared" si="147"/>
        <v>3944.2017055072465</v>
      </c>
      <c r="L665" s="5">
        <f t="shared" si="151"/>
        <v>1.1628274972200197</v>
      </c>
      <c r="M665" s="5">
        <f>ROUND(IF(L665&lt;110%,0,(K665-$K$1659*1.1)*0.5)*G665,1)</f>
        <v>1654.2</v>
      </c>
      <c r="N665" s="5">
        <f t="shared" si="150"/>
        <v>0</v>
      </c>
    </row>
    <row r="666" spans="1:14" s="13" customFormat="1" ht="31.5" x14ac:dyDescent="0.25">
      <c r="A666" s="38">
        <v>10</v>
      </c>
      <c r="B666" s="34" t="s">
        <v>985</v>
      </c>
      <c r="C666" s="18">
        <v>10568000000</v>
      </c>
      <c r="D666" s="32" t="s">
        <v>3002</v>
      </c>
      <c r="E666" s="86">
        <v>11.404</v>
      </c>
      <c r="F666" s="86">
        <v>0.36299999999999999</v>
      </c>
      <c r="G666" s="86">
        <f t="shared" si="145"/>
        <v>11.766999999999999</v>
      </c>
      <c r="H666" s="86">
        <v>69312.867929999993</v>
      </c>
      <c r="I666" s="86"/>
      <c r="J666" s="5">
        <f t="shared" si="146"/>
        <v>69312.867929999993</v>
      </c>
      <c r="K666" s="5">
        <f t="shared" si="147"/>
        <v>5890.4451372482363</v>
      </c>
      <c r="L666" s="5">
        <f t="shared" si="151"/>
        <v>1.736617974403849</v>
      </c>
      <c r="M666" s="5">
        <f>ROUND(IF(L666&lt;110%,0,(K666-$K$1659*1.1)*0.5)*G666,1)</f>
        <v>12704.5</v>
      </c>
      <c r="N666" s="5">
        <f t="shared" si="150"/>
        <v>0</v>
      </c>
    </row>
    <row r="667" spans="1:14" s="13" customFormat="1" ht="15.75" x14ac:dyDescent="0.25">
      <c r="A667" s="38">
        <v>10</v>
      </c>
      <c r="B667" s="34" t="s">
        <v>983</v>
      </c>
      <c r="C667" s="18">
        <v>10569000000</v>
      </c>
      <c r="D667" s="32" t="s">
        <v>1834</v>
      </c>
      <c r="E667" s="86">
        <v>31.154</v>
      </c>
      <c r="F667" s="86">
        <v>0.36599999999999999</v>
      </c>
      <c r="G667" s="86">
        <f t="shared" si="145"/>
        <v>31.52</v>
      </c>
      <c r="H667" s="86">
        <v>125384.548</v>
      </c>
      <c r="I667" s="86"/>
      <c r="J667" s="5">
        <f t="shared" si="146"/>
        <v>125384.548</v>
      </c>
      <c r="K667" s="5">
        <f t="shared" si="147"/>
        <v>3977.9361675126902</v>
      </c>
      <c r="L667" s="5">
        <f t="shared" si="151"/>
        <v>1.1727730737784094</v>
      </c>
      <c r="M667" s="5">
        <f>ROUND(IF(L667&lt;110%,0,(K667-$K$1659*1.1)*0.5)*G667,1)</f>
        <v>3890.2</v>
      </c>
      <c r="N667" s="5">
        <f t="shared" si="150"/>
        <v>0</v>
      </c>
    </row>
    <row r="668" spans="1:14" s="13" customFormat="1" ht="15.75" x14ac:dyDescent="0.25">
      <c r="A668" s="36">
        <v>11</v>
      </c>
      <c r="B668" s="17" t="s">
        <v>7</v>
      </c>
      <c r="C668" s="17" t="s">
        <v>784</v>
      </c>
      <c r="D668" s="11" t="s">
        <v>15</v>
      </c>
      <c r="E668" s="11">
        <f t="shared" ref="E668:J668" si="152">E669+E670+E675</f>
        <v>920.12800000000016</v>
      </c>
      <c r="F668" s="11">
        <f t="shared" si="152"/>
        <v>6.5809999999999986</v>
      </c>
      <c r="G668" s="11">
        <f t="shared" si="152"/>
        <v>926.6930000000001</v>
      </c>
      <c r="H668" s="11">
        <f t="shared" si="152"/>
        <v>3147723.5999999992</v>
      </c>
      <c r="I668" s="11">
        <f t="shared" si="152"/>
        <v>136.5</v>
      </c>
      <c r="J668" s="11">
        <f t="shared" si="152"/>
        <v>3147860.0999999992</v>
      </c>
      <c r="K668" s="11">
        <f t="shared" si="147"/>
        <v>3396.8748010398253</v>
      </c>
      <c r="L668" s="11">
        <f t="shared" si="151"/>
        <v>1.0014648636624182</v>
      </c>
      <c r="M668" s="11">
        <f>M669+M670+M675</f>
        <v>160543</v>
      </c>
      <c r="N668" s="11">
        <f>N669+N670+N675</f>
        <v>215309.90000000002</v>
      </c>
    </row>
    <row r="669" spans="1:14" s="13" customFormat="1" ht="15.75" x14ac:dyDescent="0.25">
      <c r="A669" s="38">
        <v>11</v>
      </c>
      <c r="B669" s="34" t="s">
        <v>6</v>
      </c>
      <c r="C669" s="18" t="s">
        <v>110</v>
      </c>
      <c r="D669" s="32" t="s">
        <v>848</v>
      </c>
      <c r="E669" s="5">
        <v>0</v>
      </c>
      <c r="F669" s="5">
        <v>1.6E-2</v>
      </c>
      <c r="G669" s="5"/>
      <c r="H669" s="49"/>
      <c r="I669" s="49"/>
      <c r="J669" s="5"/>
      <c r="K669" s="5"/>
      <c r="L669" s="5"/>
      <c r="M669" s="5"/>
      <c r="N669" s="5"/>
    </row>
    <row r="670" spans="1:14" s="13" customFormat="1" ht="15.75" x14ac:dyDescent="0.25">
      <c r="A670" s="37">
        <v>11</v>
      </c>
      <c r="B670" s="19" t="s">
        <v>5</v>
      </c>
      <c r="C670" s="19" t="s">
        <v>785</v>
      </c>
      <c r="D670" s="7" t="s">
        <v>2803</v>
      </c>
      <c r="E670" s="7">
        <f t="shared" ref="E670:J670" si="153">SUM(E671:E674)</f>
        <v>0</v>
      </c>
      <c r="F670" s="7">
        <f t="shared" si="153"/>
        <v>0</v>
      </c>
      <c r="G670" s="7">
        <f t="shared" si="153"/>
        <v>0</v>
      </c>
      <c r="H670" s="7">
        <f t="shared" si="153"/>
        <v>0</v>
      </c>
      <c r="I670" s="7">
        <f t="shared" si="153"/>
        <v>0</v>
      </c>
      <c r="J670" s="7">
        <f t="shared" si="153"/>
        <v>0</v>
      </c>
      <c r="K670" s="7" t="e">
        <f>J670/G670</f>
        <v>#DIV/0!</v>
      </c>
      <c r="L670" s="7" t="e">
        <f>K670/$K$1659</f>
        <v>#DIV/0!</v>
      </c>
      <c r="M670" s="7">
        <f>SUM(M671:M674)</f>
        <v>0</v>
      </c>
      <c r="N670" s="7">
        <f>SUM(N671:N674)</f>
        <v>0</v>
      </c>
    </row>
    <row r="671" spans="1:14" s="13" customFormat="1" ht="15.75" x14ac:dyDescent="0.25">
      <c r="A671" s="38">
        <v>11</v>
      </c>
      <c r="B671" s="34" t="s">
        <v>4</v>
      </c>
      <c r="C671" s="18" t="s">
        <v>111</v>
      </c>
      <c r="D671" s="32" t="s">
        <v>919</v>
      </c>
      <c r="E671" s="5"/>
      <c r="F671" s="5"/>
      <c r="G671" s="5"/>
      <c r="H671" s="49"/>
      <c r="I671" s="49"/>
      <c r="J671" s="5"/>
      <c r="K671" s="5"/>
      <c r="L671" s="5"/>
      <c r="M671" s="5"/>
      <c r="N671" s="5"/>
    </row>
    <row r="672" spans="1:14" s="13" customFormat="1" ht="15.75" x14ac:dyDescent="0.25">
      <c r="A672" s="38">
        <v>11</v>
      </c>
      <c r="B672" s="34" t="s">
        <v>4</v>
      </c>
      <c r="C672" s="18" t="s">
        <v>112</v>
      </c>
      <c r="D672" s="32" t="s">
        <v>3003</v>
      </c>
      <c r="E672" s="5"/>
      <c r="F672" s="5"/>
      <c r="G672" s="5"/>
      <c r="H672" s="49"/>
      <c r="I672" s="49"/>
      <c r="J672" s="5"/>
      <c r="K672" s="5"/>
      <c r="L672" s="5"/>
      <c r="M672" s="5"/>
      <c r="N672" s="5"/>
    </row>
    <row r="673" spans="1:14" s="13" customFormat="1" ht="15.75" x14ac:dyDescent="0.25">
      <c r="A673" s="38">
        <v>11</v>
      </c>
      <c r="B673" s="34" t="s">
        <v>4</v>
      </c>
      <c r="C673" s="18" t="s">
        <v>113</v>
      </c>
      <c r="D673" s="32" t="s">
        <v>3004</v>
      </c>
      <c r="E673" s="5"/>
      <c r="F673" s="5"/>
      <c r="G673" s="5"/>
      <c r="H673" s="49"/>
      <c r="I673" s="49"/>
      <c r="J673" s="5"/>
      <c r="K673" s="5"/>
      <c r="L673" s="5"/>
      <c r="M673" s="5"/>
      <c r="N673" s="5"/>
    </row>
    <row r="674" spans="1:14" s="13" customFormat="1" ht="15.75" x14ac:dyDescent="0.25">
      <c r="A674" s="38">
        <v>11</v>
      </c>
      <c r="B674" s="34" t="s">
        <v>4</v>
      </c>
      <c r="C674" s="18" t="s">
        <v>114</v>
      </c>
      <c r="D674" s="32" t="s">
        <v>921</v>
      </c>
      <c r="E674" s="5"/>
      <c r="F674" s="5"/>
      <c r="G674" s="5"/>
      <c r="H674" s="49"/>
      <c r="I674" s="49"/>
      <c r="J674" s="5"/>
      <c r="K674" s="5"/>
      <c r="L674" s="5"/>
      <c r="M674" s="5"/>
      <c r="N674" s="5"/>
    </row>
    <row r="675" spans="1:14" s="13" customFormat="1" ht="31.5" x14ac:dyDescent="0.25">
      <c r="A675" s="37">
        <v>11</v>
      </c>
      <c r="B675" s="19" t="s">
        <v>28</v>
      </c>
      <c r="C675" s="19" t="s">
        <v>786</v>
      </c>
      <c r="D675" s="20" t="s">
        <v>2777</v>
      </c>
      <c r="E675" s="7">
        <f t="shared" ref="E675:J675" si="154">SUM(E676:E724)</f>
        <v>920.12800000000016</v>
      </c>
      <c r="F675" s="7">
        <f t="shared" si="154"/>
        <v>6.5649999999999986</v>
      </c>
      <c r="G675" s="7">
        <f t="shared" si="154"/>
        <v>926.6930000000001</v>
      </c>
      <c r="H675" s="7">
        <f t="shared" si="154"/>
        <v>3147723.5999999992</v>
      </c>
      <c r="I675" s="7">
        <f t="shared" si="154"/>
        <v>136.5</v>
      </c>
      <c r="J675" s="7">
        <f t="shared" si="154"/>
        <v>3147860.0999999992</v>
      </c>
      <c r="K675" s="7">
        <f t="shared" ref="K675:K694" si="155">J675/G675</f>
        <v>3396.8748010398253</v>
      </c>
      <c r="L675" s="7">
        <f t="shared" ref="L675:L706" si="156">K675/$K$1659</f>
        <v>1.0014648636624182</v>
      </c>
      <c r="M675" s="7">
        <f>SUM(M676:M724)</f>
        <v>160543</v>
      </c>
      <c r="N675" s="7">
        <f>SUM(N676:N724)</f>
        <v>215309.90000000002</v>
      </c>
    </row>
    <row r="676" spans="1:14" s="13" customFormat="1" ht="31.5" x14ac:dyDescent="0.25">
      <c r="A676" s="38">
        <v>11</v>
      </c>
      <c r="B676" s="34" t="s">
        <v>983</v>
      </c>
      <c r="C676" s="18" t="s">
        <v>115</v>
      </c>
      <c r="D676" s="32" t="s">
        <v>1835</v>
      </c>
      <c r="E676" s="5">
        <v>11.337999999999999</v>
      </c>
      <c r="F676" s="5">
        <v>3.7999999999999999E-2</v>
      </c>
      <c r="G676" s="5">
        <f t="shared" ref="G676:G718" si="157">F676+E676</f>
        <v>11.375999999999999</v>
      </c>
      <c r="H676" s="49">
        <v>26565.9</v>
      </c>
      <c r="I676" s="49"/>
      <c r="J676" s="5">
        <f t="shared" ref="J676:J700" si="158">H676+I676</f>
        <v>26565.9</v>
      </c>
      <c r="K676" s="5">
        <f t="shared" si="155"/>
        <v>2335.2584388185655</v>
      </c>
      <c r="L676" s="5">
        <f t="shared" si="156"/>
        <v>0.68847967941946164</v>
      </c>
      <c r="M676" s="5">
        <f t="shared" ref="M676:M707" si="159">ROUND(IF(L676&lt;110%,0,(K676-$K$1659*1.1)*0.5)*G676,1)</f>
        <v>0</v>
      </c>
      <c r="N676" s="5">
        <f t="shared" ref="N676:N707" si="160">ROUND(IF(L676&gt;90%,0,(-K676+$K$1659*0.9)*0.8)*G676,1)</f>
        <v>6529.4</v>
      </c>
    </row>
    <row r="677" spans="1:14" s="13" customFormat="1" ht="31.5" x14ac:dyDescent="0.25">
      <c r="A677" s="38">
        <v>11</v>
      </c>
      <c r="B677" s="34" t="s">
        <v>983</v>
      </c>
      <c r="C677" s="18" t="s">
        <v>233</v>
      </c>
      <c r="D677" s="32" t="s">
        <v>1836</v>
      </c>
      <c r="E677" s="71">
        <v>15.106999999999999</v>
      </c>
      <c r="F677" s="71">
        <v>8.1000000000000003E-2</v>
      </c>
      <c r="G677" s="5">
        <f t="shared" si="157"/>
        <v>15.187999999999999</v>
      </c>
      <c r="H677" s="49">
        <v>43280</v>
      </c>
      <c r="I677" s="49">
        <f>(6567.99)*0.6</f>
        <v>3940.7939999999999</v>
      </c>
      <c r="J677" s="5">
        <f t="shared" si="158"/>
        <v>47220.794000000002</v>
      </c>
      <c r="K677" s="5">
        <f t="shared" si="155"/>
        <v>3109.085725572821</v>
      </c>
      <c r="L677" s="5">
        <f t="shared" si="156"/>
        <v>0.91661903798233368</v>
      </c>
      <c r="M677" s="5">
        <f t="shared" si="159"/>
        <v>0</v>
      </c>
      <c r="N677" s="5">
        <f t="shared" si="160"/>
        <v>0</v>
      </c>
    </row>
    <row r="678" spans="1:14" s="13" customFormat="1" ht="31.5" x14ac:dyDescent="0.25">
      <c r="A678" s="38">
        <v>11</v>
      </c>
      <c r="B678" s="34" t="s">
        <v>983</v>
      </c>
      <c r="C678" s="18" t="s">
        <v>285</v>
      </c>
      <c r="D678" s="32" t="s">
        <v>1837</v>
      </c>
      <c r="E678" s="71">
        <v>19.760000000000002</v>
      </c>
      <c r="F678" s="71">
        <v>8.7999999999999995E-2</v>
      </c>
      <c r="G678" s="5">
        <f t="shared" si="157"/>
        <v>19.848000000000003</v>
      </c>
      <c r="H678" s="49">
        <v>59658.6</v>
      </c>
      <c r="I678" s="49"/>
      <c r="J678" s="5">
        <f t="shared" si="158"/>
        <v>59658.6</v>
      </c>
      <c r="K678" s="5">
        <f t="shared" si="155"/>
        <v>3005.773881499395</v>
      </c>
      <c r="L678" s="5">
        <f t="shared" si="156"/>
        <v>0.88616069379842821</v>
      </c>
      <c r="M678" s="5">
        <f t="shared" si="159"/>
        <v>0</v>
      </c>
      <c r="N678" s="5">
        <f t="shared" si="160"/>
        <v>745.4</v>
      </c>
    </row>
    <row r="679" spans="1:14" s="13" customFormat="1" ht="31.5" x14ac:dyDescent="0.25">
      <c r="A679" s="38">
        <v>11</v>
      </c>
      <c r="B679" s="34" t="s">
        <v>984</v>
      </c>
      <c r="C679" s="18" t="s">
        <v>376</v>
      </c>
      <c r="D679" s="32" t="s">
        <v>1838</v>
      </c>
      <c r="E679" s="71">
        <v>7.8339999999999996</v>
      </c>
      <c r="F679" s="71">
        <v>8.2000000000000003E-2</v>
      </c>
      <c r="G679" s="5">
        <f t="shared" si="157"/>
        <v>7.9159999999999995</v>
      </c>
      <c r="H679" s="49">
        <v>18405.900000000001</v>
      </c>
      <c r="I679" s="49"/>
      <c r="J679" s="5">
        <f t="shared" si="158"/>
        <v>18405.900000000001</v>
      </c>
      <c r="K679" s="5">
        <f t="shared" si="155"/>
        <v>2325.1515917129868</v>
      </c>
      <c r="L679" s="5">
        <f t="shared" si="156"/>
        <v>0.68549998400780054</v>
      </c>
      <c r="M679" s="5">
        <f t="shared" si="159"/>
        <v>0</v>
      </c>
      <c r="N679" s="5">
        <f t="shared" si="160"/>
        <v>4607.5</v>
      </c>
    </row>
    <row r="680" spans="1:14" s="13" customFormat="1" ht="31.5" x14ac:dyDescent="0.25">
      <c r="A680" s="38">
        <v>11</v>
      </c>
      <c r="B680" s="34" t="s">
        <v>984</v>
      </c>
      <c r="C680" s="18" t="s">
        <v>377</v>
      </c>
      <c r="D680" s="32" t="s">
        <v>1839</v>
      </c>
      <c r="E680" s="71">
        <v>10.173</v>
      </c>
      <c r="F680" s="71">
        <v>3.5000000000000003E-2</v>
      </c>
      <c r="G680" s="5">
        <f t="shared" si="157"/>
        <v>10.208</v>
      </c>
      <c r="H680" s="49">
        <v>42965.7</v>
      </c>
      <c r="I680" s="49"/>
      <c r="J680" s="5">
        <f t="shared" si="158"/>
        <v>42965.7</v>
      </c>
      <c r="K680" s="5">
        <f t="shared" si="155"/>
        <v>4209.0223354231975</v>
      </c>
      <c r="L680" s="5">
        <f t="shared" si="156"/>
        <v>1.2409017777182558</v>
      </c>
      <c r="M680" s="5">
        <f t="shared" si="159"/>
        <v>2439.3000000000002</v>
      </c>
      <c r="N680" s="5">
        <f t="shared" si="160"/>
        <v>0</v>
      </c>
    </row>
    <row r="681" spans="1:14" s="13" customFormat="1" ht="15.75" x14ac:dyDescent="0.25">
      <c r="A681" s="38">
        <v>11</v>
      </c>
      <c r="B681" s="34" t="s">
        <v>984</v>
      </c>
      <c r="C681" s="18" t="s">
        <v>485</v>
      </c>
      <c r="D681" s="32" t="s">
        <v>1840</v>
      </c>
      <c r="E681" s="5">
        <v>3.5489999999999999</v>
      </c>
      <c r="F681" s="5">
        <v>2.7E-2</v>
      </c>
      <c r="G681" s="5">
        <f t="shared" si="157"/>
        <v>3.5760000000000001</v>
      </c>
      <c r="H681" s="49">
        <v>14075.6</v>
      </c>
      <c r="I681" s="49"/>
      <c r="J681" s="5">
        <f t="shared" si="158"/>
        <v>14075.6</v>
      </c>
      <c r="K681" s="5">
        <f t="shared" si="155"/>
        <v>3936.1297539149887</v>
      </c>
      <c r="L681" s="5">
        <f t="shared" si="156"/>
        <v>1.1604477286461659</v>
      </c>
      <c r="M681" s="5">
        <f t="shared" si="159"/>
        <v>366.6</v>
      </c>
      <c r="N681" s="5">
        <f t="shared" si="160"/>
        <v>0</v>
      </c>
    </row>
    <row r="682" spans="1:14" s="13" customFormat="1" ht="31.5" x14ac:dyDescent="0.25">
      <c r="A682" s="38">
        <v>11</v>
      </c>
      <c r="B682" s="34" t="s">
        <v>984</v>
      </c>
      <c r="C682" s="18" t="s">
        <v>486</v>
      </c>
      <c r="D682" s="32" t="s">
        <v>1841</v>
      </c>
      <c r="E682" s="71">
        <v>6.1829999999999998</v>
      </c>
      <c r="F682" s="71">
        <v>3.1E-2</v>
      </c>
      <c r="G682" s="5">
        <f t="shared" si="157"/>
        <v>6.2139999999999995</v>
      </c>
      <c r="H682" s="49">
        <v>19845.2</v>
      </c>
      <c r="I682" s="49"/>
      <c r="J682" s="5">
        <f t="shared" si="158"/>
        <v>19845.2</v>
      </c>
      <c r="K682" s="5">
        <f t="shared" si="155"/>
        <v>3193.6272932088837</v>
      </c>
      <c r="L682" s="5">
        <f t="shared" si="156"/>
        <v>0.94154353902091759</v>
      </c>
      <c r="M682" s="5">
        <f t="shared" si="159"/>
        <v>0</v>
      </c>
      <c r="N682" s="5">
        <f t="shared" si="160"/>
        <v>0</v>
      </c>
    </row>
    <row r="683" spans="1:14" s="13" customFormat="1" ht="15.75" x14ac:dyDescent="0.25">
      <c r="A683" s="38">
        <v>11</v>
      </c>
      <c r="B683" s="34" t="s">
        <v>984</v>
      </c>
      <c r="C683" s="18" t="s">
        <v>572</v>
      </c>
      <c r="D683" s="32" t="s">
        <v>1842</v>
      </c>
      <c r="E683" s="71">
        <v>3.8180000000000001</v>
      </c>
      <c r="F683" s="71">
        <v>1.7999999999999999E-2</v>
      </c>
      <c r="G683" s="5">
        <f t="shared" si="157"/>
        <v>3.8359999999999999</v>
      </c>
      <c r="H683" s="49">
        <v>14054.4</v>
      </c>
      <c r="I683" s="49"/>
      <c r="J683" s="5">
        <f t="shared" si="158"/>
        <v>14054.4</v>
      </c>
      <c r="K683" s="5">
        <f t="shared" si="155"/>
        <v>3663.8164754953077</v>
      </c>
      <c r="L683" s="5">
        <f t="shared" si="156"/>
        <v>1.080164469409602</v>
      </c>
      <c r="M683" s="5">
        <f t="shared" si="159"/>
        <v>0</v>
      </c>
      <c r="N683" s="5">
        <f t="shared" si="160"/>
        <v>0</v>
      </c>
    </row>
    <row r="684" spans="1:14" s="13" customFormat="1" ht="31.5" x14ac:dyDescent="0.25">
      <c r="A684" s="38">
        <v>11</v>
      </c>
      <c r="B684" s="34" t="s">
        <v>984</v>
      </c>
      <c r="C684" s="18" t="s">
        <v>573</v>
      </c>
      <c r="D684" s="32" t="s">
        <v>1843</v>
      </c>
      <c r="E684" s="71">
        <v>5.6059999999999999</v>
      </c>
      <c r="F684" s="71">
        <v>2.1000000000000001E-2</v>
      </c>
      <c r="G684" s="5">
        <f t="shared" si="157"/>
        <v>5.6269999999999998</v>
      </c>
      <c r="H684" s="49">
        <v>18890.8</v>
      </c>
      <c r="I684" s="49"/>
      <c r="J684" s="5">
        <f t="shared" si="158"/>
        <v>18890.8</v>
      </c>
      <c r="K684" s="5">
        <f t="shared" si="155"/>
        <v>3357.1707837213435</v>
      </c>
      <c r="L684" s="5">
        <f t="shared" si="156"/>
        <v>0.98975934590870762</v>
      </c>
      <c r="M684" s="5">
        <f t="shared" si="159"/>
        <v>0</v>
      </c>
      <c r="N684" s="5">
        <f t="shared" si="160"/>
        <v>0</v>
      </c>
    </row>
    <row r="685" spans="1:14" s="13" customFormat="1" ht="31.5" x14ac:dyDescent="0.25">
      <c r="A685" s="38">
        <v>11</v>
      </c>
      <c r="B685" s="34" t="s">
        <v>984</v>
      </c>
      <c r="C685" s="18" t="s">
        <v>574</v>
      </c>
      <c r="D685" s="32" t="s">
        <v>3005</v>
      </c>
      <c r="E685" s="71">
        <v>8.59</v>
      </c>
      <c r="F685" s="71">
        <v>1.4E-2</v>
      </c>
      <c r="G685" s="5">
        <f t="shared" si="157"/>
        <v>8.6039999999999992</v>
      </c>
      <c r="H685" s="49">
        <v>46125.4</v>
      </c>
      <c r="I685" s="49"/>
      <c r="J685" s="5">
        <f t="shared" si="158"/>
        <v>46125.4</v>
      </c>
      <c r="K685" s="5">
        <f t="shared" si="155"/>
        <v>5360.925151092516</v>
      </c>
      <c r="L685" s="5">
        <f t="shared" si="156"/>
        <v>1.5805051672495689</v>
      </c>
      <c r="M685" s="5">
        <f t="shared" si="159"/>
        <v>7011.5</v>
      </c>
      <c r="N685" s="5">
        <f t="shared" si="160"/>
        <v>0</v>
      </c>
    </row>
    <row r="686" spans="1:14" s="13" customFormat="1" ht="31.5" x14ac:dyDescent="0.25">
      <c r="A686" s="38">
        <v>11</v>
      </c>
      <c r="B686" s="34" t="s">
        <v>985</v>
      </c>
      <c r="C686" s="18" t="s">
        <v>575</v>
      </c>
      <c r="D686" s="32" t="s">
        <v>3006</v>
      </c>
      <c r="E686" s="71">
        <v>14.505000000000001</v>
      </c>
      <c r="F686" s="71">
        <v>4.8000000000000001E-2</v>
      </c>
      <c r="G686" s="5">
        <f t="shared" si="157"/>
        <v>14.553000000000001</v>
      </c>
      <c r="H686" s="49">
        <v>51353.5</v>
      </c>
      <c r="I686" s="49"/>
      <c r="J686" s="5">
        <f t="shared" si="158"/>
        <v>51353.5</v>
      </c>
      <c r="K686" s="5">
        <f t="shared" si="155"/>
        <v>3528.7226001511713</v>
      </c>
      <c r="L686" s="5">
        <f t="shared" si="156"/>
        <v>1.0403361632819434</v>
      </c>
      <c r="M686" s="5">
        <f t="shared" si="159"/>
        <v>0</v>
      </c>
      <c r="N686" s="5">
        <f t="shared" si="160"/>
        <v>0</v>
      </c>
    </row>
    <row r="687" spans="1:14" s="13" customFormat="1" ht="31.5" x14ac:dyDescent="0.25">
      <c r="A687" s="38">
        <v>11</v>
      </c>
      <c r="B687" s="34" t="s">
        <v>985</v>
      </c>
      <c r="C687" s="18" t="s">
        <v>576</v>
      </c>
      <c r="D687" s="32" t="s">
        <v>1846</v>
      </c>
      <c r="E687" s="71">
        <v>14.884</v>
      </c>
      <c r="F687" s="71">
        <v>4.1000000000000002E-2</v>
      </c>
      <c r="G687" s="5">
        <f t="shared" si="157"/>
        <v>14.925000000000001</v>
      </c>
      <c r="H687" s="49">
        <v>46623</v>
      </c>
      <c r="I687" s="49"/>
      <c r="J687" s="5">
        <f t="shared" si="158"/>
        <v>46623</v>
      </c>
      <c r="K687" s="5">
        <f t="shared" si="155"/>
        <v>3123.8190954773868</v>
      </c>
      <c r="L687" s="5">
        <f t="shared" si="156"/>
        <v>0.92096272244142752</v>
      </c>
      <c r="M687" s="5">
        <f t="shared" si="159"/>
        <v>0</v>
      </c>
      <c r="N687" s="5">
        <f t="shared" si="160"/>
        <v>0</v>
      </c>
    </row>
    <row r="688" spans="1:14" s="13" customFormat="1" ht="31.5" x14ac:dyDescent="0.25">
      <c r="A688" s="38">
        <v>11</v>
      </c>
      <c r="B688" s="34" t="s">
        <v>983</v>
      </c>
      <c r="C688" s="18" t="s">
        <v>577</v>
      </c>
      <c r="D688" s="32" t="s">
        <v>1847</v>
      </c>
      <c r="E688" s="71">
        <v>9.9039999999999999</v>
      </c>
      <c r="F688" s="71">
        <v>4.8000000000000001E-2</v>
      </c>
      <c r="G688" s="5">
        <f t="shared" si="157"/>
        <v>9.952</v>
      </c>
      <c r="H688" s="49">
        <v>53197.9</v>
      </c>
      <c r="I688" s="49"/>
      <c r="J688" s="5">
        <f t="shared" si="158"/>
        <v>53197.9</v>
      </c>
      <c r="K688" s="5">
        <f t="shared" si="155"/>
        <v>5345.4481511254025</v>
      </c>
      <c r="L688" s="5">
        <f t="shared" si="156"/>
        <v>1.5759422461618611</v>
      </c>
      <c r="M688" s="5">
        <f t="shared" si="159"/>
        <v>8033</v>
      </c>
      <c r="N688" s="5">
        <f t="shared" si="160"/>
        <v>0</v>
      </c>
    </row>
    <row r="689" spans="1:14" s="13" customFormat="1" ht="31.5" x14ac:dyDescent="0.25">
      <c r="A689" s="38">
        <v>11</v>
      </c>
      <c r="B689" s="34" t="s">
        <v>984</v>
      </c>
      <c r="C689" s="30" t="s">
        <v>739</v>
      </c>
      <c r="D689" s="32" t="s">
        <v>1809</v>
      </c>
      <c r="E689" s="71">
        <v>6.46</v>
      </c>
      <c r="F689" s="71">
        <v>0.04</v>
      </c>
      <c r="G689" s="5">
        <f t="shared" si="157"/>
        <v>6.5</v>
      </c>
      <c r="H689" s="49">
        <v>17710.099999999999</v>
      </c>
      <c r="I689" s="49"/>
      <c r="J689" s="5">
        <f t="shared" si="158"/>
        <v>17710.099999999999</v>
      </c>
      <c r="K689" s="5">
        <f t="shared" si="155"/>
        <v>2724.6307692307691</v>
      </c>
      <c r="L689" s="5">
        <f t="shared" si="156"/>
        <v>0.80327422753492628</v>
      </c>
      <c r="M689" s="5">
        <f t="shared" si="159"/>
        <v>0</v>
      </c>
      <c r="N689" s="5">
        <f t="shared" si="160"/>
        <v>1706</v>
      </c>
    </row>
    <row r="690" spans="1:14" s="13" customFormat="1" ht="31.5" x14ac:dyDescent="0.25">
      <c r="A690" s="38">
        <v>11</v>
      </c>
      <c r="B690" s="34" t="s">
        <v>985</v>
      </c>
      <c r="C690" s="30" t="s">
        <v>740</v>
      </c>
      <c r="D690" s="32" t="s">
        <v>1849</v>
      </c>
      <c r="E690" s="71">
        <v>8.8320000000000007</v>
      </c>
      <c r="F690" s="71">
        <v>4.1000000000000002E-2</v>
      </c>
      <c r="G690" s="5">
        <f t="shared" si="157"/>
        <v>8.8730000000000011</v>
      </c>
      <c r="H690" s="49">
        <v>21470.799999999999</v>
      </c>
      <c r="I690" s="49"/>
      <c r="J690" s="5">
        <f t="shared" si="158"/>
        <v>21470.799999999999</v>
      </c>
      <c r="K690" s="5">
        <f t="shared" si="155"/>
        <v>2419.7903752958409</v>
      </c>
      <c r="L690" s="5">
        <f t="shared" si="156"/>
        <v>0.71340134100481667</v>
      </c>
      <c r="M690" s="5">
        <f t="shared" si="159"/>
        <v>0</v>
      </c>
      <c r="N690" s="5">
        <f t="shared" si="160"/>
        <v>4492.8</v>
      </c>
    </row>
    <row r="691" spans="1:14" s="13" customFormat="1" ht="31.5" x14ac:dyDescent="0.25">
      <c r="A691" s="38">
        <v>11</v>
      </c>
      <c r="B691" s="34" t="s">
        <v>985</v>
      </c>
      <c r="C691" s="30" t="s">
        <v>836</v>
      </c>
      <c r="D691" s="32" t="s">
        <v>1850</v>
      </c>
      <c r="E691" s="71">
        <v>12.459</v>
      </c>
      <c r="F691" s="71">
        <v>5.5E-2</v>
      </c>
      <c r="G691" s="5">
        <f t="shared" si="157"/>
        <v>12.513999999999999</v>
      </c>
      <c r="H691" s="49">
        <v>44395.1</v>
      </c>
      <c r="I691" s="49">
        <f>(-10612.58361)*0.6</f>
        <v>-6367.550166</v>
      </c>
      <c r="J691" s="5">
        <f t="shared" si="158"/>
        <v>38027.549833999998</v>
      </c>
      <c r="K691" s="5">
        <f t="shared" si="155"/>
        <v>3038.8005301262588</v>
      </c>
      <c r="L691" s="5">
        <f t="shared" si="156"/>
        <v>0.89589759318435902</v>
      </c>
      <c r="M691" s="5">
        <f t="shared" si="159"/>
        <v>0</v>
      </c>
      <c r="N691" s="5">
        <f t="shared" si="160"/>
        <v>139.30000000000001</v>
      </c>
    </row>
    <row r="692" spans="1:14" s="13" customFormat="1" ht="31.5" x14ac:dyDescent="0.25">
      <c r="A692" s="38">
        <v>11</v>
      </c>
      <c r="B692" s="34" t="s">
        <v>985</v>
      </c>
      <c r="C692" s="30" t="s">
        <v>877</v>
      </c>
      <c r="D692" s="32" t="s">
        <v>1851</v>
      </c>
      <c r="E692" s="71">
        <v>13.458</v>
      </c>
      <c r="F692" s="71">
        <v>8.5000000000000006E-2</v>
      </c>
      <c r="G692" s="5">
        <f t="shared" si="157"/>
        <v>13.543000000000001</v>
      </c>
      <c r="H692" s="49">
        <v>44974.7</v>
      </c>
      <c r="I692" s="49"/>
      <c r="J692" s="5">
        <f t="shared" si="158"/>
        <v>44974.7</v>
      </c>
      <c r="K692" s="5">
        <f t="shared" si="155"/>
        <v>3320.8816362696593</v>
      </c>
      <c r="L692" s="5">
        <f t="shared" si="156"/>
        <v>0.97906059831459513</v>
      </c>
      <c r="M692" s="5">
        <f t="shared" si="159"/>
        <v>0</v>
      </c>
      <c r="N692" s="5">
        <f t="shared" si="160"/>
        <v>0</v>
      </c>
    </row>
    <row r="693" spans="1:14" s="13" customFormat="1" ht="31.5" x14ac:dyDescent="0.25">
      <c r="A693" s="38">
        <v>11</v>
      </c>
      <c r="B693" s="34" t="s">
        <v>984</v>
      </c>
      <c r="C693" s="30" t="s">
        <v>878</v>
      </c>
      <c r="D693" s="32" t="s">
        <v>1852</v>
      </c>
      <c r="E693" s="71">
        <v>5.1609999999999996</v>
      </c>
      <c r="F693" s="71">
        <v>1.2999999999999999E-2</v>
      </c>
      <c r="G693" s="5">
        <f t="shared" si="157"/>
        <v>5.1739999999999995</v>
      </c>
      <c r="H693" s="49">
        <v>28688.3</v>
      </c>
      <c r="I693" s="49">
        <f>(-6567.99)*0.6</f>
        <v>-3940.7939999999999</v>
      </c>
      <c r="J693" s="5">
        <f t="shared" si="158"/>
        <v>24747.506000000001</v>
      </c>
      <c r="K693" s="5">
        <f t="shared" si="155"/>
        <v>4783.0510243525323</v>
      </c>
      <c r="L693" s="5">
        <f t="shared" si="156"/>
        <v>1.4101366174953822</v>
      </c>
      <c r="M693" s="5">
        <f t="shared" si="159"/>
        <v>2721.4</v>
      </c>
      <c r="N693" s="5">
        <f t="shared" si="160"/>
        <v>0</v>
      </c>
    </row>
    <row r="694" spans="1:14" s="12" customFormat="1" ht="31.5" x14ac:dyDescent="0.25">
      <c r="A694" s="38">
        <v>11</v>
      </c>
      <c r="B694" s="34" t="s">
        <v>984</v>
      </c>
      <c r="C694" s="30" t="s">
        <v>879</v>
      </c>
      <c r="D694" s="32" t="s">
        <v>1853</v>
      </c>
      <c r="E694" s="71">
        <v>5.9960000000000004</v>
      </c>
      <c r="F694" s="71">
        <v>0.01</v>
      </c>
      <c r="G694" s="5">
        <f t="shared" si="157"/>
        <v>6.0060000000000002</v>
      </c>
      <c r="H694" s="49">
        <v>19240.099999999999</v>
      </c>
      <c r="I694" s="49"/>
      <c r="J694" s="5">
        <f t="shared" si="158"/>
        <v>19240.099999999999</v>
      </c>
      <c r="K694" s="5">
        <f t="shared" si="155"/>
        <v>3203.4798534798533</v>
      </c>
      <c r="L694" s="5">
        <f t="shared" si="156"/>
        <v>0.94444826572013885</v>
      </c>
      <c r="M694" s="5">
        <f t="shared" si="159"/>
        <v>0</v>
      </c>
      <c r="N694" s="5">
        <f t="shared" si="160"/>
        <v>0</v>
      </c>
    </row>
    <row r="695" spans="1:14" ht="31.5" x14ac:dyDescent="0.25">
      <c r="A695" s="38">
        <v>11</v>
      </c>
      <c r="B695" s="34" t="s">
        <v>984</v>
      </c>
      <c r="C695" s="30" t="s">
        <v>880</v>
      </c>
      <c r="D695" s="32" t="s">
        <v>2753</v>
      </c>
      <c r="E695" s="5">
        <v>8.4079999999999995</v>
      </c>
      <c r="F695" s="5">
        <v>1.6E-2</v>
      </c>
      <c r="G695" s="5">
        <f>F695+E695</f>
        <v>8.4239999999999995</v>
      </c>
      <c r="H695" s="49">
        <v>35372.1</v>
      </c>
      <c r="I695" s="49">
        <f>(-4824.1)*0.6</f>
        <v>-2894.46</v>
      </c>
      <c r="J695" s="5">
        <f>H695+I695</f>
        <v>32477.64</v>
      </c>
      <c r="K695" s="5">
        <f t="shared" ref="K695:K725" si="161">J695/G695</f>
        <v>3855.3703703703704</v>
      </c>
      <c r="L695" s="5">
        <f t="shared" si="156"/>
        <v>1.1366382891560163</v>
      </c>
      <c r="M695" s="5">
        <f t="shared" si="159"/>
        <v>523.4</v>
      </c>
      <c r="N695" s="5">
        <f t="shared" si="160"/>
        <v>0</v>
      </c>
    </row>
    <row r="696" spans="1:14" ht="31.5" x14ac:dyDescent="0.25">
      <c r="A696" s="38">
        <v>11</v>
      </c>
      <c r="B696" s="34" t="s">
        <v>985</v>
      </c>
      <c r="C696" s="30" t="s">
        <v>1025</v>
      </c>
      <c r="D696" s="32" t="s">
        <v>3007</v>
      </c>
      <c r="E696" s="71">
        <v>22.577000000000002</v>
      </c>
      <c r="F696" s="71">
        <v>4.8000000000000001E-2</v>
      </c>
      <c r="G696" s="5">
        <f t="shared" si="157"/>
        <v>22.625</v>
      </c>
      <c r="H696" s="49">
        <v>98275.199999999997</v>
      </c>
      <c r="I696" s="49"/>
      <c r="J696" s="5">
        <f t="shared" si="158"/>
        <v>98275.199999999997</v>
      </c>
      <c r="K696" s="5">
        <f t="shared" si="161"/>
        <v>4343.6552486187848</v>
      </c>
      <c r="L696" s="5">
        <f t="shared" si="156"/>
        <v>1.2805941832248173</v>
      </c>
      <c r="M696" s="5">
        <f t="shared" si="159"/>
        <v>6929.6</v>
      </c>
      <c r="N696" s="5">
        <f t="shared" si="160"/>
        <v>0</v>
      </c>
    </row>
    <row r="697" spans="1:14" ht="15.75" x14ac:dyDescent="0.25">
      <c r="A697" s="38">
        <v>11</v>
      </c>
      <c r="B697" s="34" t="s">
        <v>984</v>
      </c>
      <c r="C697" s="30" t="s">
        <v>1051</v>
      </c>
      <c r="D697" s="32" t="s">
        <v>3008</v>
      </c>
      <c r="E697" s="71">
        <v>4.1459999999999999</v>
      </c>
      <c r="F697" s="71">
        <v>7.0000000000000001E-3</v>
      </c>
      <c r="G697" s="5">
        <f t="shared" si="157"/>
        <v>4.1529999999999996</v>
      </c>
      <c r="H697" s="49">
        <v>12296.6</v>
      </c>
      <c r="I697" s="49"/>
      <c r="J697" s="5">
        <f t="shared" si="158"/>
        <v>12296.6</v>
      </c>
      <c r="K697" s="5">
        <f t="shared" si="161"/>
        <v>2960.8957380207084</v>
      </c>
      <c r="L697" s="5">
        <f t="shared" si="156"/>
        <v>0.8729297428588918</v>
      </c>
      <c r="M697" s="5">
        <f t="shared" si="159"/>
        <v>0</v>
      </c>
      <c r="N697" s="5">
        <f t="shared" si="160"/>
        <v>305.10000000000002</v>
      </c>
    </row>
    <row r="698" spans="1:14" ht="15.75" x14ac:dyDescent="0.25">
      <c r="A698" s="38">
        <v>11</v>
      </c>
      <c r="B698" s="34" t="s">
        <v>984</v>
      </c>
      <c r="C698" s="30" t="s">
        <v>1052</v>
      </c>
      <c r="D698" s="32" t="s">
        <v>3009</v>
      </c>
      <c r="E698" s="71">
        <v>5.5960000000000001</v>
      </c>
      <c r="F698" s="71">
        <v>1.2999999999999999E-2</v>
      </c>
      <c r="G698" s="5">
        <f t="shared" si="157"/>
        <v>5.609</v>
      </c>
      <c r="H698" s="49">
        <v>17846.599999999999</v>
      </c>
      <c r="I698" s="49"/>
      <c r="J698" s="5">
        <f t="shared" si="158"/>
        <v>17846.599999999999</v>
      </c>
      <c r="K698" s="5">
        <f t="shared" si="161"/>
        <v>3181.7792832947048</v>
      </c>
      <c r="L698" s="5">
        <f t="shared" si="156"/>
        <v>0.93805051489481728</v>
      </c>
      <c r="M698" s="5">
        <f t="shared" si="159"/>
        <v>0</v>
      </c>
      <c r="N698" s="5">
        <f t="shared" si="160"/>
        <v>0</v>
      </c>
    </row>
    <row r="699" spans="1:14" ht="15.75" x14ac:dyDescent="0.25">
      <c r="A699" s="38">
        <v>11</v>
      </c>
      <c r="B699" s="34" t="s">
        <v>984</v>
      </c>
      <c r="C699" s="30" t="s">
        <v>1053</v>
      </c>
      <c r="D699" s="32" t="s">
        <v>3010</v>
      </c>
      <c r="E699" s="71">
        <v>5.7249999999999996</v>
      </c>
      <c r="F699" s="71">
        <v>1.6E-2</v>
      </c>
      <c r="G699" s="5">
        <f t="shared" si="157"/>
        <v>5.7409999999999997</v>
      </c>
      <c r="H699" s="49">
        <v>12350.8</v>
      </c>
      <c r="I699" s="49"/>
      <c r="J699" s="5">
        <f t="shared" si="158"/>
        <v>12350.8</v>
      </c>
      <c r="K699" s="5">
        <f t="shared" si="161"/>
        <v>2151.3325204668176</v>
      </c>
      <c r="L699" s="5">
        <f t="shared" si="156"/>
        <v>0.63425473574778612</v>
      </c>
      <c r="M699" s="5">
        <f t="shared" si="159"/>
        <v>0</v>
      </c>
      <c r="N699" s="5">
        <f t="shared" si="160"/>
        <v>4139.8999999999996</v>
      </c>
    </row>
    <row r="700" spans="1:14" ht="31.5" x14ac:dyDescent="0.25">
      <c r="A700" s="38">
        <v>11</v>
      </c>
      <c r="B700" s="34" t="s">
        <v>986</v>
      </c>
      <c r="C700" s="30" t="s">
        <v>1061</v>
      </c>
      <c r="D700" s="32" t="s">
        <v>1858</v>
      </c>
      <c r="E700" s="5">
        <v>231.16200000000001</v>
      </c>
      <c r="F700" s="5">
        <v>2.11</v>
      </c>
      <c r="G700" s="5">
        <f t="shared" si="157"/>
        <v>233.27200000000002</v>
      </c>
      <c r="H700" s="49">
        <v>1065630.8999999999</v>
      </c>
      <c r="I700" s="49"/>
      <c r="J700" s="5">
        <f t="shared" si="158"/>
        <v>1065630.8999999999</v>
      </c>
      <c r="K700" s="5">
        <f t="shared" si="161"/>
        <v>4568.1903528927596</v>
      </c>
      <c r="L700" s="5">
        <f t="shared" si="156"/>
        <v>1.3467915059875901</v>
      </c>
      <c r="M700" s="5">
        <f t="shared" si="159"/>
        <v>97635.3</v>
      </c>
      <c r="N700" s="5">
        <f t="shared" si="160"/>
        <v>0</v>
      </c>
    </row>
    <row r="701" spans="1:14" ht="15.75" x14ac:dyDescent="0.25">
      <c r="A701" s="38">
        <v>11</v>
      </c>
      <c r="B701" s="34" t="s">
        <v>984</v>
      </c>
      <c r="C701" s="30" t="s">
        <v>1859</v>
      </c>
      <c r="D701" s="32" t="s">
        <v>1860</v>
      </c>
      <c r="E701" s="5">
        <v>5.984</v>
      </c>
      <c r="F701" s="5">
        <v>2.1000000000000001E-2</v>
      </c>
      <c r="G701" s="5">
        <f>F701+E701</f>
        <v>6.0049999999999999</v>
      </c>
      <c r="H701" s="49">
        <v>19365.2</v>
      </c>
      <c r="I701" s="49"/>
      <c r="J701" s="5">
        <f t="shared" ref="J701:J724" si="162">H701+I701</f>
        <v>19365.2</v>
      </c>
      <c r="K701" s="5">
        <f t="shared" si="161"/>
        <v>3224.8459616985847</v>
      </c>
      <c r="L701" s="5">
        <f t="shared" si="156"/>
        <v>0.95074741064232393</v>
      </c>
      <c r="M701" s="5">
        <f t="shared" si="159"/>
        <v>0</v>
      </c>
      <c r="N701" s="5">
        <f t="shared" si="160"/>
        <v>0</v>
      </c>
    </row>
    <row r="702" spans="1:14" ht="31.5" x14ac:dyDescent="0.25">
      <c r="A702" s="38">
        <v>11</v>
      </c>
      <c r="B702" s="34" t="s">
        <v>983</v>
      </c>
      <c r="C702" s="30" t="s">
        <v>1861</v>
      </c>
      <c r="D702" s="32" t="s">
        <v>1862</v>
      </c>
      <c r="E702" s="5">
        <v>21.498999999999999</v>
      </c>
      <c r="F702" s="5">
        <v>0.122</v>
      </c>
      <c r="G702" s="5">
        <f t="shared" si="157"/>
        <v>21.620999999999999</v>
      </c>
      <c r="H702" s="49">
        <v>45761.9</v>
      </c>
      <c r="I702" s="49"/>
      <c r="J702" s="5">
        <f t="shared" si="162"/>
        <v>45761.9</v>
      </c>
      <c r="K702" s="5">
        <f t="shared" si="161"/>
        <v>2116.5487257758664</v>
      </c>
      <c r="L702" s="5">
        <f t="shared" si="156"/>
        <v>0.62399979547233897</v>
      </c>
      <c r="M702" s="5">
        <f t="shared" si="159"/>
        <v>0</v>
      </c>
      <c r="N702" s="5">
        <f t="shared" si="160"/>
        <v>16192.7</v>
      </c>
    </row>
    <row r="703" spans="1:14" ht="31.5" x14ac:dyDescent="0.25">
      <c r="A703" s="38">
        <v>11</v>
      </c>
      <c r="B703" s="34" t="s">
        <v>985</v>
      </c>
      <c r="C703" s="30" t="s">
        <v>1863</v>
      </c>
      <c r="D703" s="32" t="s">
        <v>1864</v>
      </c>
      <c r="E703" s="5">
        <v>11.137</v>
      </c>
      <c r="F703" s="5">
        <v>4.2999999999999997E-2</v>
      </c>
      <c r="G703" s="5">
        <f t="shared" ref="G703:G708" si="163">F703+E703</f>
        <v>11.18</v>
      </c>
      <c r="H703" s="49">
        <v>25000</v>
      </c>
      <c r="I703" s="49"/>
      <c r="J703" s="5">
        <f t="shared" si="162"/>
        <v>25000</v>
      </c>
      <c r="K703" s="5">
        <f t="shared" si="161"/>
        <v>2236.1359570661898</v>
      </c>
      <c r="L703" s="5">
        <f t="shared" si="156"/>
        <v>0.65925644085805324</v>
      </c>
      <c r="M703" s="5">
        <f t="shared" si="159"/>
        <v>0</v>
      </c>
      <c r="N703" s="5">
        <f t="shared" si="160"/>
        <v>7303.5</v>
      </c>
    </row>
    <row r="704" spans="1:14" ht="31.5" x14ac:dyDescent="0.25">
      <c r="A704" s="38">
        <v>11</v>
      </c>
      <c r="B704" s="34" t="s">
        <v>983</v>
      </c>
      <c r="C704" s="30" t="s">
        <v>1865</v>
      </c>
      <c r="D704" s="32" t="s">
        <v>1866</v>
      </c>
      <c r="E704" s="5">
        <v>24.71</v>
      </c>
      <c r="F704" s="5">
        <v>8.3000000000000004E-2</v>
      </c>
      <c r="G704" s="5">
        <f t="shared" si="163"/>
        <v>24.792999999999999</v>
      </c>
      <c r="H704" s="49">
        <v>52167.4</v>
      </c>
      <c r="I704" s="49"/>
      <c r="J704" s="5">
        <f t="shared" si="162"/>
        <v>52167.4</v>
      </c>
      <c r="K704" s="5">
        <f t="shared" si="161"/>
        <v>2104.1180978501998</v>
      </c>
      <c r="L704" s="5">
        <f t="shared" si="156"/>
        <v>0.62033500420684828</v>
      </c>
      <c r="M704" s="5">
        <f t="shared" si="159"/>
        <v>0</v>
      </c>
      <c r="N704" s="5">
        <f t="shared" si="160"/>
        <v>18814.900000000001</v>
      </c>
    </row>
    <row r="705" spans="1:14" ht="31.5" x14ac:dyDescent="0.25">
      <c r="A705" s="38">
        <v>11</v>
      </c>
      <c r="B705" s="34" t="s">
        <v>985</v>
      </c>
      <c r="C705" s="30" t="s">
        <v>1867</v>
      </c>
      <c r="D705" s="32" t="s">
        <v>1868</v>
      </c>
      <c r="E705" s="5">
        <v>16.234000000000002</v>
      </c>
      <c r="F705" s="5">
        <v>2.9000000000000001E-2</v>
      </c>
      <c r="G705" s="5">
        <f t="shared" si="163"/>
        <v>16.263000000000002</v>
      </c>
      <c r="H705" s="49">
        <v>51072.2</v>
      </c>
      <c r="I705" s="49"/>
      <c r="J705" s="5">
        <f t="shared" si="162"/>
        <v>51072.2</v>
      </c>
      <c r="K705" s="5">
        <f t="shared" si="161"/>
        <v>3140.3923015433802</v>
      </c>
      <c r="L705" s="5">
        <f t="shared" si="156"/>
        <v>0.92584882644156563</v>
      </c>
      <c r="M705" s="5">
        <f t="shared" si="159"/>
        <v>0</v>
      </c>
      <c r="N705" s="5">
        <f t="shared" si="160"/>
        <v>0</v>
      </c>
    </row>
    <row r="706" spans="1:14" ht="15.75" x14ac:dyDescent="0.25">
      <c r="A706" s="38">
        <v>11</v>
      </c>
      <c r="B706" s="34" t="s">
        <v>983</v>
      </c>
      <c r="C706" s="30" t="s">
        <v>1869</v>
      </c>
      <c r="D706" s="32" t="s">
        <v>1870</v>
      </c>
      <c r="E706" s="5">
        <v>26.507000000000001</v>
      </c>
      <c r="F706" s="5">
        <v>8.4000000000000005E-2</v>
      </c>
      <c r="G706" s="5">
        <f t="shared" si="163"/>
        <v>26.591000000000001</v>
      </c>
      <c r="H706" s="49">
        <v>67796.600000000006</v>
      </c>
      <c r="I706" s="49"/>
      <c r="J706" s="5">
        <f t="shared" si="162"/>
        <v>67796.600000000006</v>
      </c>
      <c r="K706" s="5">
        <f t="shared" si="161"/>
        <v>2549.6070098905648</v>
      </c>
      <c r="L706" s="5">
        <f t="shared" si="156"/>
        <v>0.75167381375704245</v>
      </c>
      <c r="M706" s="5">
        <f t="shared" si="159"/>
        <v>0</v>
      </c>
      <c r="N706" s="5">
        <f t="shared" si="160"/>
        <v>10702.5</v>
      </c>
    </row>
    <row r="707" spans="1:14" ht="31.5" x14ac:dyDescent="0.25">
      <c r="A707" s="38">
        <v>11</v>
      </c>
      <c r="B707" s="34" t="s">
        <v>985</v>
      </c>
      <c r="C707" s="30" t="s">
        <v>1871</v>
      </c>
      <c r="D707" s="32" t="s">
        <v>1872</v>
      </c>
      <c r="E707" s="5">
        <v>10.961</v>
      </c>
      <c r="F707" s="5">
        <v>2.5000000000000001E-2</v>
      </c>
      <c r="G707" s="5">
        <f t="shared" si="163"/>
        <v>10.986000000000001</v>
      </c>
      <c r="H707" s="49">
        <v>15642.5</v>
      </c>
      <c r="I707" s="49"/>
      <c r="J707" s="5">
        <f t="shared" si="162"/>
        <v>15642.5</v>
      </c>
      <c r="K707" s="5">
        <f t="shared" si="161"/>
        <v>1423.8576369925358</v>
      </c>
      <c r="L707" s="5">
        <f t="shared" ref="L707:L725" si="164">K707/$K$1659</f>
        <v>0.41978096863296932</v>
      </c>
      <c r="M707" s="5">
        <f t="shared" si="159"/>
        <v>0</v>
      </c>
      <c r="N707" s="5">
        <f t="shared" si="160"/>
        <v>14315.7</v>
      </c>
    </row>
    <row r="708" spans="1:14" ht="15.75" x14ac:dyDescent="0.25">
      <c r="A708" s="38">
        <v>11</v>
      </c>
      <c r="B708" s="34" t="s">
        <v>986</v>
      </c>
      <c r="C708" s="30" t="s">
        <v>1873</v>
      </c>
      <c r="D708" s="32" t="s">
        <v>1874</v>
      </c>
      <c r="E708" s="5">
        <v>28.234000000000002</v>
      </c>
      <c r="F708" s="5">
        <v>0.27900000000000003</v>
      </c>
      <c r="G708" s="5">
        <f t="shared" si="163"/>
        <v>28.513000000000002</v>
      </c>
      <c r="H708" s="49">
        <v>170912.8</v>
      </c>
      <c r="I708" s="49"/>
      <c r="J708" s="5">
        <f t="shared" si="162"/>
        <v>170912.8</v>
      </c>
      <c r="K708" s="5">
        <f t="shared" si="161"/>
        <v>5994.2061515799805</v>
      </c>
      <c r="L708" s="5">
        <f t="shared" si="164"/>
        <v>1.7672087427299015</v>
      </c>
      <c r="M708" s="5">
        <f t="shared" ref="M708:M724" si="165">ROUND(IF(L708&lt;110%,0,(K708-$K$1659*1.1)*0.5)*G708,1)</f>
        <v>32264</v>
      </c>
      <c r="N708" s="5">
        <f t="shared" ref="N708:N724" si="166">ROUND(IF(L708&gt;90%,0,(-K708+$K$1659*0.9)*0.8)*G708,1)</f>
        <v>0</v>
      </c>
    </row>
    <row r="709" spans="1:14" ht="31.5" x14ac:dyDescent="0.25">
      <c r="A709" s="38">
        <v>11</v>
      </c>
      <c r="B709" s="34" t="s">
        <v>984</v>
      </c>
      <c r="C709" s="30" t="s">
        <v>1875</v>
      </c>
      <c r="D709" s="32" t="s">
        <v>1876</v>
      </c>
      <c r="E709" s="5">
        <v>12.978999999999999</v>
      </c>
      <c r="F709" s="5">
        <v>2.7E-2</v>
      </c>
      <c r="G709" s="5">
        <f t="shared" si="157"/>
        <v>13.005999999999998</v>
      </c>
      <c r="H709" s="49">
        <v>26822.2</v>
      </c>
      <c r="I709" s="49"/>
      <c r="J709" s="5">
        <f t="shared" si="162"/>
        <v>26822.2</v>
      </c>
      <c r="K709" s="5">
        <f t="shared" si="161"/>
        <v>2062.2943256958329</v>
      </c>
      <c r="L709" s="5">
        <f t="shared" si="164"/>
        <v>0.60800454143394911</v>
      </c>
      <c r="M709" s="5">
        <f t="shared" si="165"/>
        <v>0</v>
      </c>
      <c r="N709" s="5">
        <f t="shared" si="166"/>
        <v>10305.1</v>
      </c>
    </row>
    <row r="710" spans="1:14" ht="15.75" x14ac:dyDescent="0.25">
      <c r="A710" s="38">
        <v>11</v>
      </c>
      <c r="B710" s="34" t="s">
        <v>984</v>
      </c>
      <c r="C710" s="30" t="s">
        <v>1877</v>
      </c>
      <c r="D710" s="32" t="s">
        <v>3011</v>
      </c>
      <c r="E710" s="5">
        <v>4.2320000000000002</v>
      </c>
      <c r="F710" s="5">
        <v>1.2E-2</v>
      </c>
      <c r="G710" s="5">
        <f t="shared" ref="G710:G717" si="167">F710+E710</f>
        <v>4.2439999999999998</v>
      </c>
      <c r="H710" s="49">
        <v>8905.6</v>
      </c>
      <c r="I710" s="49"/>
      <c r="J710" s="5">
        <f t="shared" si="162"/>
        <v>8905.6</v>
      </c>
      <c r="K710" s="5">
        <f t="shared" si="161"/>
        <v>2098.3977379830349</v>
      </c>
      <c r="L710" s="5">
        <f t="shared" si="164"/>
        <v>0.61864853068338588</v>
      </c>
      <c r="M710" s="5">
        <f t="shared" si="165"/>
        <v>0</v>
      </c>
      <c r="N710" s="5">
        <f t="shared" si="166"/>
        <v>3240.1</v>
      </c>
    </row>
    <row r="711" spans="1:14" ht="31.5" x14ac:dyDescent="0.25">
      <c r="A711" s="38">
        <v>11</v>
      </c>
      <c r="B711" s="34" t="s">
        <v>985</v>
      </c>
      <c r="C711" s="30" t="s">
        <v>1879</v>
      </c>
      <c r="D711" s="32" t="s">
        <v>1880</v>
      </c>
      <c r="E711" s="5">
        <v>14.573</v>
      </c>
      <c r="F711" s="5">
        <v>0.11600000000000001</v>
      </c>
      <c r="G711" s="5">
        <f t="shared" si="167"/>
        <v>14.689</v>
      </c>
      <c r="H711" s="49">
        <v>46336.3</v>
      </c>
      <c r="I711" s="49"/>
      <c r="J711" s="5">
        <f t="shared" si="162"/>
        <v>46336.3</v>
      </c>
      <c r="K711" s="5">
        <f t="shared" si="161"/>
        <v>3154.4897542378653</v>
      </c>
      <c r="L711" s="5">
        <f t="shared" si="164"/>
        <v>0.93000503011923674</v>
      </c>
      <c r="M711" s="5">
        <f t="shared" si="165"/>
        <v>0</v>
      </c>
      <c r="N711" s="5">
        <f t="shared" si="166"/>
        <v>0</v>
      </c>
    </row>
    <row r="712" spans="1:14" ht="31.5" x14ac:dyDescent="0.25">
      <c r="A712" s="38">
        <v>11</v>
      </c>
      <c r="B712" s="34" t="s">
        <v>985</v>
      </c>
      <c r="C712" s="30" t="s">
        <v>1881</v>
      </c>
      <c r="D712" s="32" t="s">
        <v>1882</v>
      </c>
      <c r="E712" s="5">
        <v>12.455</v>
      </c>
      <c r="F712" s="5">
        <v>6.5000000000000002E-2</v>
      </c>
      <c r="G712" s="5">
        <f t="shared" si="167"/>
        <v>12.52</v>
      </c>
      <c r="H712" s="49">
        <v>37831.4</v>
      </c>
      <c r="I712" s="49"/>
      <c r="J712" s="5">
        <f t="shared" si="162"/>
        <v>37831.4</v>
      </c>
      <c r="K712" s="5">
        <f t="shared" si="161"/>
        <v>3021.6773162939298</v>
      </c>
      <c r="L712" s="5">
        <f t="shared" si="164"/>
        <v>0.89084933618036044</v>
      </c>
      <c r="M712" s="5">
        <f t="shared" si="165"/>
        <v>0</v>
      </c>
      <c r="N712" s="5">
        <f t="shared" si="166"/>
        <v>310.89999999999998</v>
      </c>
    </row>
    <row r="713" spans="1:14" s="24" customFormat="1" ht="31.5" x14ac:dyDescent="0.25">
      <c r="A713" s="38">
        <v>11</v>
      </c>
      <c r="B713" s="34" t="s">
        <v>983</v>
      </c>
      <c r="C713" s="30" t="s">
        <v>1883</v>
      </c>
      <c r="D713" s="32" t="s">
        <v>1884</v>
      </c>
      <c r="E713" s="5">
        <v>26.748999999999999</v>
      </c>
      <c r="F713" s="5">
        <v>0.112</v>
      </c>
      <c r="G713" s="5">
        <f t="shared" si="167"/>
        <v>26.860999999999997</v>
      </c>
      <c r="H713" s="49">
        <v>75688.7</v>
      </c>
      <c r="I713" s="49"/>
      <c r="J713" s="5">
        <f t="shared" si="162"/>
        <v>75688.7</v>
      </c>
      <c r="K713" s="5">
        <f t="shared" si="161"/>
        <v>2817.7915937604707</v>
      </c>
      <c r="L713" s="5">
        <f t="shared" si="164"/>
        <v>0.83073985341191081</v>
      </c>
      <c r="M713" s="5">
        <f t="shared" si="165"/>
        <v>0</v>
      </c>
      <c r="N713" s="5">
        <f t="shared" si="166"/>
        <v>5048.2</v>
      </c>
    </row>
    <row r="714" spans="1:14" s="24" customFormat="1" ht="31.5" x14ac:dyDescent="0.25">
      <c r="A714" s="38">
        <v>11</v>
      </c>
      <c r="B714" s="34" t="s">
        <v>985</v>
      </c>
      <c r="C714" s="30" t="s">
        <v>1885</v>
      </c>
      <c r="D714" s="32" t="s">
        <v>1334</v>
      </c>
      <c r="E714" s="5">
        <v>25.280999999999999</v>
      </c>
      <c r="F714" s="5">
        <v>0.247</v>
      </c>
      <c r="G714" s="5">
        <f t="shared" si="167"/>
        <v>25.527999999999999</v>
      </c>
      <c r="H714" s="49">
        <v>88064.5</v>
      </c>
      <c r="I714" s="49"/>
      <c r="J714" s="5">
        <f t="shared" si="162"/>
        <v>88064.5</v>
      </c>
      <c r="K714" s="5">
        <f t="shared" si="161"/>
        <v>3449.7218740206836</v>
      </c>
      <c r="L714" s="5">
        <f t="shared" si="164"/>
        <v>1.0170452102567444</v>
      </c>
      <c r="M714" s="5">
        <f t="shared" si="165"/>
        <v>0</v>
      </c>
      <c r="N714" s="5">
        <f t="shared" si="166"/>
        <v>0</v>
      </c>
    </row>
    <row r="715" spans="1:14" s="24" customFormat="1" ht="31.5" x14ac:dyDescent="0.25">
      <c r="A715" s="38">
        <v>11</v>
      </c>
      <c r="B715" s="34" t="s">
        <v>986</v>
      </c>
      <c r="C715" s="30" t="s">
        <v>1886</v>
      </c>
      <c r="D715" s="32" t="s">
        <v>1887</v>
      </c>
      <c r="E715" s="5">
        <v>86.677000000000007</v>
      </c>
      <c r="F715" s="5">
        <v>1.016</v>
      </c>
      <c r="G715" s="5">
        <f t="shared" si="167"/>
        <v>87.693000000000012</v>
      </c>
      <c r="H715" s="49">
        <v>169440.8</v>
      </c>
      <c r="I715" s="49">
        <f>(227.5+4824.1+10612.58361)*0.6</f>
        <v>9398.510166</v>
      </c>
      <c r="J715" s="5">
        <f t="shared" si="162"/>
        <v>178839.31016599998</v>
      </c>
      <c r="K715" s="5">
        <f t="shared" si="161"/>
        <v>2039.3795418790548</v>
      </c>
      <c r="L715" s="5">
        <f t="shared" si="164"/>
        <v>0.60124881677671449</v>
      </c>
      <c r="M715" s="5">
        <f t="shared" si="165"/>
        <v>0</v>
      </c>
      <c r="N715" s="5">
        <f t="shared" si="166"/>
        <v>71090</v>
      </c>
    </row>
    <row r="716" spans="1:14" s="24" customFormat="1" ht="31.5" x14ac:dyDescent="0.25">
      <c r="A716" s="38">
        <v>11</v>
      </c>
      <c r="B716" s="34" t="s">
        <v>985</v>
      </c>
      <c r="C716" s="30" t="s">
        <v>1888</v>
      </c>
      <c r="D716" s="32" t="s">
        <v>1889</v>
      </c>
      <c r="E716" s="5">
        <v>16.945</v>
      </c>
      <c r="F716" s="5">
        <v>0.108</v>
      </c>
      <c r="G716" s="5">
        <f t="shared" si="167"/>
        <v>17.053000000000001</v>
      </c>
      <c r="H716" s="49">
        <v>42454.8</v>
      </c>
      <c r="I716" s="49"/>
      <c r="J716" s="5">
        <f t="shared" si="162"/>
        <v>42454.8</v>
      </c>
      <c r="K716" s="5">
        <f t="shared" si="161"/>
        <v>2489.5795461209173</v>
      </c>
      <c r="L716" s="5">
        <f t="shared" si="164"/>
        <v>0.73397654808164314</v>
      </c>
      <c r="M716" s="5">
        <f t="shared" si="165"/>
        <v>0</v>
      </c>
      <c r="N716" s="5">
        <f t="shared" si="166"/>
        <v>7682.5</v>
      </c>
    </row>
    <row r="717" spans="1:14" s="24" customFormat="1" ht="31.5" x14ac:dyDescent="0.25">
      <c r="A717" s="38">
        <v>11</v>
      </c>
      <c r="B717" s="34" t="s">
        <v>985</v>
      </c>
      <c r="C717" s="30" t="s">
        <v>1890</v>
      </c>
      <c r="D717" s="32" t="s">
        <v>1891</v>
      </c>
      <c r="E717" s="5">
        <v>5.149</v>
      </c>
      <c r="F717" s="5">
        <v>4.2000000000000003E-2</v>
      </c>
      <c r="G717" s="5">
        <f t="shared" si="167"/>
        <v>5.1909999999999998</v>
      </c>
      <c r="H717" s="49">
        <v>7708.4</v>
      </c>
      <c r="I717" s="49"/>
      <c r="J717" s="5">
        <f t="shared" si="162"/>
        <v>7708.4</v>
      </c>
      <c r="K717" s="5">
        <f t="shared" si="161"/>
        <v>1484.9547293392409</v>
      </c>
      <c r="L717" s="5">
        <f t="shared" si="164"/>
        <v>0.43779358164962606</v>
      </c>
      <c r="M717" s="5">
        <f t="shared" si="165"/>
        <v>0</v>
      </c>
      <c r="N717" s="5">
        <f t="shared" si="166"/>
        <v>6510.6</v>
      </c>
    </row>
    <row r="718" spans="1:14" ht="31.5" x14ac:dyDescent="0.25">
      <c r="A718" s="38">
        <v>11</v>
      </c>
      <c r="B718" s="34" t="s">
        <v>984</v>
      </c>
      <c r="C718" s="30" t="s">
        <v>1892</v>
      </c>
      <c r="D718" s="32" t="s">
        <v>1893</v>
      </c>
      <c r="E718" s="5">
        <v>4.4989999999999997</v>
      </c>
      <c r="F718" s="5">
        <v>5.0000000000000001E-3</v>
      </c>
      <c r="G718" s="5">
        <f t="shared" si="157"/>
        <v>4.5039999999999996</v>
      </c>
      <c r="H718" s="49">
        <v>9145.4</v>
      </c>
      <c r="I718" s="49"/>
      <c r="J718" s="5">
        <f t="shared" si="162"/>
        <v>9145.4</v>
      </c>
      <c r="K718" s="5">
        <f t="shared" si="161"/>
        <v>2030.50621669627</v>
      </c>
      <c r="L718" s="5">
        <f t="shared" si="164"/>
        <v>0.59863278765733408</v>
      </c>
      <c r="M718" s="5">
        <f t="shared" si="165"/>
        <v>0</v>
      </c>
      <c r="N718" s="5">
        <f t="shared" si="166"/>
        <v>3683.2</v>
      </c>
    </row>
    <row r="719" spans="1:14" ht="31.5" x14ac:dyDescent="0.25">
      <c r="A719" s="38">
        <v>11</v>
      </c>
      <c r="B719" s="34" t="s">
        <v>984</v>
      </c>
      <c r="C719" s="30" t="s">
        <v>1894</v>
      </c>
      <c r="D719" s="32" t="s">
        <v>1895</v>
      </c>
      <c r="E719" s="5">
        <v>6.468</v>
      </c>
      <c r="F719" s="5">
        <v>1.6E-2</v>
      </c>
      <c r="G719" s="5">
        <f t="shared" ref="G719:G724" si="168">F719+E719</f>
        <v>6.484</v>
      </c>
      <c r="H719" s="49">
        <v>14525</v>
      </c>
      <c r="I719" s="49"/>
      <c r="J719" s="5">
        <f t="shared" si="162"/>
        <v>14525</v>
      </c>
      <c r="K719" s="5">
        <f t="shared" si="161"/>
        <v>2240.1295496607031</v>
      </c>
      <c r="L719" s="5">
        <f t="shared" si="164"/>
        <v>0.66043382975150411</v>
      </c>
      <c r="M719" s="5">
        <f t="shared" si="165"/>
        <v>0</v>
      </c>
      <c r="N719" s="5">
        <f t="shared" si="166"/>
        <v>4215</v>
      </c>
    </row>
    <row r="720" spans="1:14" ht="15.75" x14ac:dyDescent="0.25">
      <c r="A720" s="38">
        <v>11</v>
      </c>
      <c r="B720" s="34" t="s">
        <v>985</v>
      </c>
      <c r="C720" s="30" t="s">
        <v>1896</v>
      </c>
      <c r="D720" s="32" t="s">
        <v>1897</v>
      </c>
      <c r="E720" s="5">
        <v>8.9550000000000001</v>
      </c>
      <c r="F720" s="5">
        <v>3.1E-2</v>
      </c>
      <c r="G720" s="5">
        <f t="shared" si="168"/>
        <v>8.9860000000000007</v>
      </c>
      <c r="H720" s="49">
        <v>38765.5</v>
      </c>
      <c r="I720" s="49"/>
      <c r="J720" s="5">
        <f t="shared" si="162"/>
        <v>38765.5</v>
      </c>
      <c r="K720" s="5">
        <f t="shared" si="161"/>
        <v>4313.9884264411303</v>
      </c>
      <c r="L720" s="5">
        <f t="shared" si="164"/>
        <v>1.2718478261267143</v>
      </c>
      <c r="M720" s="5">
        <f t="shared" si="165"/>
        <v>2618.9</v>
      </c>
      <c r="N720" s="5">
        <f t="shared" si="166"/>
        <v>0</v>
      </c>
    </row>
    <row r="721" spans="1:14" ht="15.75" x14ac:dyDescent="0.25">
      <c r="A721" s="38">
        <v>11</v>
      </c>
      <c r="B721" s="34" t="s">
        <v>984</v>
      </c>
      <c r="C721" s="30" t="s">
        <v>1898</v>
      </c>
      <c r="D721" s="32" t="s">
        <v>1899</v>
      </c>
      <c r="E721" s="5">
        <v>10.252000000000001</v>
      </c>
      <c r="F721" s="5">
        <v>3.1E-2</v>
      </c>
      <c r="G721" s="5">
        <f t="shared" si="168"/>
        <v>10.283000000000001</v>
      </c>
      <c r="H721" s="49">
        <v>26997.1</v>
      </c>
      <c r="I721" s="49"/>
      <c r="J721" s="5">
        <f t="shared" si="162"/>
        <v>26997.1</v>
      </c>
      <c r="K721" s="5">
        <f t="shared" si="161"/>
        <v>2625.4108723135269</v>
      </c>
      <c r="L721" s="5">
        <f t="shared" si="164"/>
        <v>0.77402226908523353</v>
      </c>
      <c r="M721" s="5">
        <f t="shared" si="165"/>
        <v>0</v>
      </c>
      <c r="N721" s="5">
        <f t="shared" si="166"/>
        <v>3515.2</v>
      </c>
    </row>
    <row r="722" spans="1:14" ht="31.5" x14ac:dyDescent="0.25">
      <c r="A722" s="38">
        <v>11</v>
      </c>
      <c r="B722" s="34" t="s">
        <v>986</v>
      </c>
      <c r="C722" s="30" t="s">
        <v>1900</v>
      </c>
      <c r="D722" s="32" t="s">
        <v>1901</v>
      </c>
      <c r="E722" s="5">
        <v>54.57</v>
      </c>
      <c r="F722" s="5">
        <v>0.85799999999999998</v>
      </c>
      <c r="G722" s="5">
        <f t="shared" si="168"/>
        <v>55.427999999999997</v>
      </c>
      <c r="H722" s="49">
        <v>157062.9</v>
      </c>
      <c r="I722" s="49"/>
      <c r="J722" s="5">
        <f t="shared" si="162"/>
        <v>157062.9</v>
      </c>
      <c r="K722" s="5">
        <f t="shared" si="161"/>
        <v>2833.6382333838492</v>
      </c>
      <c r="L722" s="5">
        <f t="shared" si="164"/>
        <v>0.83541175147099622</v>
      </c>
      <c r="M722" s="5">
        <f t="shared" si="165"/>
        <v>0</v>
      </c>
      <c r="N722" s="5">
        <f t="shared" si="166"/>
        <v>9714.4</v>
      </c>
    </row>
    <row r="723" spans="1:14" ht="31.5" x14ac:dyDescent="0.25">
      <c r="A723" s="38">
        <v>11</v>
      </c>
      <c r="B723" s="34" t="s">
        <v>984</v>
      </c>
      <c r="C723" s="30" t="s">
        <v>1902</v>
      </c>
      <c r="D723" s="32" t="s">
        <v>1903</v>
      </c>
      <c r="E723" s="5">
        <v>11.832000000000001</v>
      </c>
      <c r="F723" s="5">
        <v>0.12</v>
      </c>
      <c r="G723" s="5">
        <f t="shared" si="168"/>
        <v>11.952</v>
      </c>
      <c r="H723" s="49">
        <v>38748.1</v>
      </c>
      <c r="I723" s="49"/>
      <c r="J723" s="5">
        <f t="shared" si="162"/>
        <v>38748.1</v>
      </c>
      <c r="K723" s="5">
        <f t="shared" si="161"/>
        <v>3241.9762382864792</v>
      </c>
      <c r="L723" s="5">
        <f t="shared" si="164"/>
        <v>0.95579774988424826</v>
      </c>
      <c r="M723" s="5">
        <f t="shared" si="165"/>
        <v>0</v>
      </c>
      <c r="N723" s="5">
        <f t="shared" si="166"/>
        <v>0</v>
      </c>
    </row>
    <row r="724" spans="1:14" ht="31.5" x14ac:dyDescent="0.25">
      <c r="A724" s="38">
        <v>11</v>
      </c>
      <c r="B724" s="34" t="s">
        <v>985</v>
      </c>
      <c r="C724" s="30" t="s">
        <v>1904</v>
      </c>
      <c r="D724" s="32" t="s">
        <v>1905</v>
      </c>
      <c r="E724" s="5">
        <v>12.015000000000001</v>
      </c>
      <c r="F724" s="5">
        <v>4.7E-2</v>
      </c>
      <c r="G724" s="5">
        <f t="shared" si="168"/>
        <v>12.062000000000001</v>
      </c>
      <c r="H724" s="49">
        <v>38215.1</v>
      </c>
      <c r="I724" s="49"/>
      <c r="J724" s="5">
        <f t="shared" si="162"/>
        <v>38215.1</v>
      </c>
      <c r="K724" s="5">
        <f t="shared" si="161"/>
        <v>3168.2225169955227</v>
      </c>
      <c r="L724" s="5">
        <f t="shared" si="164"/>
        <v>0.9340537160992427</v>
      </c>
      <c r="M724" s="5">
        <f t="shared" si="165"/>
        <v>0</v>
      </c>
      <c r="N724" s="5">
        <f t="shared" si="166"/>
        <v>0</v>
      </c>
    </row>
    <row r="725" spans="1:14" ht="15.75" x14ac:dyDescent="0.25">
      <c r="A725" s="36">
        <v>12</v>
      </c>
      <c r="B725" s="17" t="s">
        <v>7</v>
      </c>
      <c r="C725" s="17" t="s">
        <v>787</v>
      </c>
      <c r="D725" s="11" t="s">
        <v>16</v>
      </c>
      <c r="E725" s="11">
        <f t="shared" ref="E725:J725" si="169">E726+E727+E732</f>
        <v>652.67600000000004</v>
      </c>
      <c r="F725" s="11">
        <f t="shared" si="169"/>
        <v>283.59699999999998</v>
      </c>
      <c r="G725" s="11">
        <f t="shared" si="169"/>
        <v>935.17499999999995</v>
      </c>
      <c r="H725" s="11">
        <f t="shared" si="169"/>
        <v>2180203.6580000003</v>
      </c>
      <c r="I725" s="11">
        <f t="shared" si="169"/>
        <v>57.66</v>
      </c>
      <c r="J725" s="11">
        <f t="shared" si="169"/>
        <v>2180261.3180000004</v>
      </c>
      <c r="K725" s="11">
        <f t="shared" si="161"/>
        <v>2331.3939294784404</v>
      </c>
      <c r="L725" s="11">
        <f t="shared" si="164"/>
        <v>0.68734034678399158</v>
      </c>
      <c r="M725" s="11">
        <f>M726+M727+M732</f>
        <v>21974.2</v>
      </c>
      <c r="N725" s="11">
        <f>N726+N727+N732</f>
        <v>666135.79999999981</v>
      </c>
    </row>
    <row r="726" spans="1:14" ht="15.75" x14ac:dyDescent="0.25">
      <c r="A726" s="38">
        <v>12</v>
      </c>
      <c r="B726" s="34" t="s">
        <v>6</v>
      </c>
      <c r="C726" s="18" t="s">
        <v>116</v>
      </c>
      <c r="D726" s="32" t="s">
        <v>849</v>
      </c>
      <c r="E726" s="5">
        <v>0</v>
      </c>
      <c r="F726" s="5">
        <v>1.0980000000000001</v>
      </c>
      <c r="G726" s="5"/>
      <c r="H726" s="49"/>
      <c r="I726" s="49"/>
      <c r="J726" s="5"/>
      <c r="K726" s="5"/>
      <c r="L726" s="5"/>
      <c r="M726" s="5"/>
      <c r="N726" s="5"/>
    </row>
    <row r="727" spans="1:14" ht="15.75" x14ac:dyDescent="0.25">
      <c r="A727" s="37">
        <v>12</v>
      </c>
      <c r="B727" s="19" t="s">
        <v>5</v>
      </c>
      <c r="C727" s="19" t="s">
        <v>788</v>
      </c>
      <c r="D727" s="7" t="s">
        <v>2804</v>
      </c>
      <c r="E727" s="7">
        <f t="shared" ref="E727:J727" si="170">SUM(E728:E731)</f>
        <v>0</v>
      </c>
      <c r="F727" s="7">
        <f t="shared" si="170"/>
        <v>0</v>
      </c>
      <c r="G727" s="7">
        <f t="shared" si="170"/>
        <v>0</v>
      </c>
      <c r="H727" s="7">
        <f t="shared" si="170"/>
        <v>0</v>
      </c>
      <c r="I727" s="7">
        <f t="shared" si="170"/>
        <v>0</v>
      </c>
      <c r="J727" s="7">
        <f t="shared" si="170"/>
        <v>0</v>
      </c>
      <c r="K727" s="7" t="e">
        <f>J727/G727</f>
        <v>#DIV/0!</v>
      </c>
      <c r="L727" s="7" t="e">
        <f>K727/$K$1659</f>
        <v>#DIV/0!</v>
      </c>
      <c r="M727" s="7">
        <f>SUM(M728:M731)</f>
        <v>0</v>
      </c>
      <c r="N727" s="7">
        <f>SUM(N728:N731)</f>
        <v>0</v>
      </c>
    </row>
    <row r="728" spans="1:14" s="13" customFormat="1" ht="15.75" x14ac:dyDescent="0.25">
      <c r="A728" s="38">
        <v>12</v>
      </c>
      <c r="B728" s="34" t="s">
        <v>4</v>
      </c>
      <c r="C728" s="18" t="s">
        <v>117</v>
      </c>
      <c r="D728" s="32" t="s">
        <v>922</v>
      </c>
      <c r="E728" s="5"/>
      <c r="F728" s="5"/>
      <c r="G728" s="5"/>
      <c r="H728" s="49"/>
      <c r="I728" s="49"/>
      <c r="J728" s="5"/>
      <c r="K728" s="5"/>
      <c r="L728" s="5"/>
      <c r="M728" s="5"/>
      <c r="N728" s="5"/>
    </row>
    <row r="729" spans="1:14" s="13" customFormat="1" ht="15.75" x14ac:dyDescent="0.25">
      <c r="A729" s="38">
        <v>12</v>
      </c>
      <c r="B729" s="34" t="s">
        <v>4</v>
      </c>
      <c r="C729" s="18" t="s">
        <v>118</v>
      </c>
      <c r="D729" s="32" t="s">
        <v>923</v>
      </c>
      <c r="E729" s="5"/>
      <c r="F729" s="5"/>
      <c r="G729" s="5"/>
      <c r="H729" s="49"/>
      <c r="I729" s="49"/>
      <c r="J729" s="5"/>
      <c r="K729" s="5"/>
      <c r="L729" s="5"/>
      <c r="M729" s="5"/>
      <c r="N729" s="5"/>
    </row>
    <row r="730" spans="1:14" s="13" customFormat="1" ht="15.75" x14ac:dyDescent="0.25">
      <c r="A730" s="38">
        <v>12</v>
      </c>
      <c r="B730" s="34" t="s">
        <v>4</v>
      </c>
      <c r="C730" s="18">
        <v>12318200000</v>
      </c>
      <c r="D730" s="32" t="s">
        <v>1906</v>
      </c>
      <c r="E730" s="5"/>
      <c r="F730" s="5"/>
      <c r="G730" s="5"/>
      <c r="H730" s="49"/>
      <c r="I730" s="49"/>
      <c r="J730" s="5"/>
      <c r="K730" s="5"/>
      <c r="L730" s="5"/>
      <c r="M730" s="5"/>
      <c r="N730" s="5"/>
    </row>
    <row r="731" spans="1:14" s="13" customFormat="1" ht="15.75" x14ac:dyDescent="0.25">
      <c r="A731" s="38">
        <v>12</v>
      </c>
      <c r="B731" s="34" t="s">
        <v>4</v>
      </c>
      <c r="C731" s="18">
        <v>12319200000</v>
      </c>
      <c r="D731" s="32" t="s">
        <v>1907</v>
      </c>
      <c r="E731" s="5"/>
      <c r="F731" s="5"/>
      <c r="G731" s="5"/>
      <c r="H731" s="49"/>
      <c r="I731" s="49"/>
      <c r="J731" s="5"/>
      <c r="K731" s="5"/>
      <c r="L731" s="5"/>
      <c r="M731" s="5"/>
      <c r="N731" s="5"/>
    </row>
    <row r="732" spans="1:14" s="13" customFormat="1" ht="31.5" x14ac:dyDescent="0.25">
      <c r="A732" s="37">
        <v>12</v>
      </c>
      <c r="B732" s="19" t="s">
        <v>28</v>
      </c>
      <c r="C732" s="19" t="s">
        <v>789</v>
      </c>
      <c r="D732" s="20" t="s">
        <v>2778</v>
      </c>
      <c r="E732" s="7">
        <f t="shared" ref="E732:J732" si="171">SUM(E733:E758)</f>
        <v>652.67600000000004</v>
      </c>
      <c r="F732" s="7">
        <f t="shared" si="171"/>
        <v>282.49899999999997</v>
      </c>
      <c r="G732" s="7">
        <f t="shared" si="171"/>
        <v>935.17499999999995</v>
      </c>
      <c r="H732" s="7">
        <f t="shared" si="171"/>
        <v>2180203.6580000003</v>
      </c>
      <c r="I732" s="7">
        <f t="shared" si="171"/>
        <v>57.66</v>
      </c>
      <c r="J732" s="7">
        <f t="shared" si="171"/>
        <v>2180261.3180000004</v>
      </c>
      <c r="K732" s="7">
        <f t="shared" ref="K732:K759" si="172">J732/G732</f>
        <v>2331.3939294784404</v>
      </c>
      <c r="L732" s="7">
        <f t="shared" ref="L732:L759" si="173">K732/$K$1659</f>
        <v>0.68734034678399158</v>
      </c>
      <c r="M732" s="7">
        <f>SUM(M733:M758)</f>
        <v>21974.2</v>
      </c>
      <c r="N732" s="7">
        <f>SUM(N733:N758)</f>
        <v>666135.79999999981</v>
      </c>
    </row>
    <row r="733" spans="1:14" s="13" customFormat="1" ht="31.5" x14ac:dyDescent="0.25">
      <c r="A733" s="38">
        <v>12</v>
      </c>
      <c r="B733" s="34" t="s">
        <v>985</v>
      </c>
      <c r="C733" s="18" t="s">
        <v>234</v>
      </c>
      <c r="D733" s="32" t="s">
        <v>3012</v>
      </c>
      <c r="E733" s="5">
        <v>15.005000000000001</v>
      </c>
      <c r="F733" s="5">
        <v>8.4190000000000005</v>
      </c>
      <c r="G733" s="5">
        <f t="shared" ref="G733:G743" si="174">F733+E733</f>
        <v>23.423999999999999</v>
      </c>
      <c r="H733" s="49">
        <v>50066.215000000004</v>
      </c>
      <c r="I733" s="49"/>
      <c r="J733" s="5">
        <f t="shared" ref="J733:J758" si="175">H733+I733</f>
        <v>50066.215000000004</v>
      </c>
      <c r="K733" s="5">
        <f t="shared" si="172"/>
        <v>2137.389643101093</v>
      </c>
      <c r="L733" s="5">
        <f t="shared" si="173"/>
        <v>0.63014410388821551</v>
      </c>
      <c r="M733" s="5">
        <f t="shared" ref="M733:M758" si="176">ROUND(IF(L733&lt;110%,0,(K733-$K$1659*1.1)*0.5)*G733,1)</f>
        <v>0</v>
      </c>
      <c r="N733" s="5">
        <f t="shared" ref="N733:N758" si="177">ROUND(IF(L733&gt;90%,0,(-K733+$K$1659*0.9)*0.8)*G733,1)</f>
        <v>17152.5</v>
      </c>
    </row>
    <row r="734" spans="1:14" s="13" customFormat="1" ht="31.5" x14ac:dyDescent="0.25">
      <c r="A734" s="38">
        <v>12</v>
      </c>
      <c r="B734" s="34" t="s">
        <v>985</v>
      </c>
      <c r="C734" s="18" t="s">
        <v>235</v>
      </c>
      <c r="D734" s="32" t="s">
        <v>3013</v>
      </c>
      <c r="E734" s="5">
        <v>23.141999999999999</v>
      </c>
      <c r="F734" s="5">
        <v>8.9410000000000007</v>
      </c>
      <c r="G734" s="5">
        <f t="shared" si="174"/>
        <v>32.082999999999998</v>
      </c>
      <c r="H734" s="49">
        <v>68441.455000000002</v>
      </c>
      <c r="I734" s="49"/>
      <c r="J734" s="5">
        <f t="shared" si="175"/>
        <v>68441.455000000002</v>
      </c>
      <c r="K734" s="5">
        <f t="shared" si="172"/>
        <v>2133.2623196085156</v>
      </c>
      <c r="L734" s="5">
        <f t="shared" si="173"/>
        <v>0.6289272885208903</v>
      </c>
      <c r="M734" s="5">
        <f t="shared" si="176"/>
        <v>0</v>
      </c>
      <c r="N734" s="5">
        <f t="shared" si="177"/>
        <v>23599.1</v>
      </c>
    </row>
    <row r="735" spans="1:14" s="13" customFormat="1" ht="31.5" x14ac:dyDescent="0.25">
      <c r="A735" s="38">
        <v>12</v>
      </c>
      <c r="B735" s="34" t="s">
        <v>984</v>
      </c>
      <c r="C735" s="18" t="s">
        <v>378</v>
      </c>
      <c r="D735" s="32" t="s">
        <v>1910</v>
      </c>
      <c r="E735" s="86">
        <v>9.077</v>
      </c>
      <c r="F735" s="86">
        <v>5.2560000000000002</v>
      </c>
      <c r="G735" s="86">
        <f>F735+E735</f>
        <v>14.333</v>
      </c>
      <c r="H735" s="86">
        <v>18368.733</v>
      </c>
      <c r="I735" s="86"/>
      <c r="J735" s="5">
        <f t="shared" si="175"/>
        <v>18368.733</v>
      </c>
      <c r="K735" s="5">
        <f t="shared" si="172"/>
        <v>1281.5693155654783</v>
      </c>
      <c r="L735" s="5">
        <f t="shared" si="173"/>
        <v>0.37783159964972551</v>
      </c>
      <c r="M735" s="5">
        <f t="shared" si="176"/>
        <v>0</v>
      </c>
      <c r="N735" s="5">
        <f t="shared" si="177"/>
        <v>20308.7</v>
      </c>
    </row>
    <row r="736" spans="1:14" s="13" customFormat="1" ht="15.75" x14ac:dyDescent="0.25">
      <c r="A736" s="38">
        <v>12</v>
      </c>
      <c r="B736" s="34" t="s">
        <v>985</v>
      </c>
      <c r="C736" s="18" t="s">
        <v>487</v>
      </c>
      <c r="D736" s="32" t="s">
        <v>1911</v>
      </c>
      <c r="E736" s="5">
        <v>15.948</v>
      </c>
      <c r="F736" s="5">
        <v>3.004</v>
      </c>
      <c r="G736" s="5">
        <f t="shared" si="174"/>
        <v>18.952000000000002</v>
      </c>
      <c r="H736" s="49">
        <v>62667.315000000002</v>
      </c>
      <c r="I736" s="49">
        <f>(-7176.64)*0.6</f>
        <v>-4305.9840000000004</v>
      </c>
      <c r="J736" s="5">
        <f t="shared" si="175"/>
        <v>58361.331000000006</v>
      </c>
      <c r="K736" s="5">
        <f t="shared" si="172"/>
        <v>3079.4286091177714</v>
      </c>
      <c r="L736" s="5">
        <f t="shared" si="173"/>
        <v>0.90787554232032552</v>
      </c>
      <c r="M736" s="5">
        <f t="shared" si="176"/>
        <v>0</v>
      </c>
      <c r="N736" s="5">
        <f t="shared" si="177"/>
        <v>0</v>
      </c>
    </row>
    <row r="737" spans="1:14" s="13" customFormat="1" ht="31.5" x14ac:dyDescent="0.25">
      <c r="A737" s="38">
        <v>12</v>
      </c>
      <c r="B737" s="34" t="s">
        <v>985</v>
      </c>
      <c r="C737" s="18" t="s">
        <v>578</v>
      </c>
      <c r="D737" s="32" t="s">
        <v>1912</v>
      </c>
      <c r="E737" s="5">
        <v>22.61</v>
      </c>
      <c r="F737" s="5">
        <v>38.662999999999997</v>
      </c>
      <c r="G737" s="5">
        <f t="shared" si="174"/>
        <v>61.272999999999996</v>
      </c>
      <c r="H737" s="49">
        <v>64076.563000000002</v>
      </c>
      <c r="I737" s="49"/>
      <c r="J737" s="5">
        <f t="shared" si="175"/>
        <v>64076.563000000002</v>
      </c>
      <c r="K737" s="5">
        <f t="shared" si="172"/>
        <v>1045.7552755699901</v>
      </c>
      <c r="L737" s="5">
        <f t="shared" si="173"/>
        <v>0.30830902691861567</v>
      </c>
      <c r="M737" s="5">
        <f t="shared" si="176"/>
        <v>0</v>
      </c>
      <c r="N737" s="5">
        <f t="shared" si="177"/>
        <v>98378</v>
      </c>
    </row>
    <row r="738" spans="1:14" s="13" customFormat="1" ht="31.5" x14ac:dyDescent="0.25">
      <c r="A738" s="38">
        <v>12</v>
      </c>
      <c r="B738" s="34" t="s">
        <v>985</v>
      </c>
      <c r="C738" s="18" t="s">
        <v>579</v>
      </c>
      <c r="D738" s="32" t="s">
        <v>1913</v>
      </c>
      <c r="E738" s="5">
        <v>7.9770000000000003</v>
      </c>
      <c r="F738" s="5">
        <v>0.94</v>
      </c>
      <c r="G738" s="5">
        <f t="shared" si="174"/>
        <v>8.9169999999999998</v>
      </c>
      <c r="H738" s="49">
        <v>11571.944</v>
      </c>
      <c r="I738" s="49"/>
      <c r="J738" s="5">
        <f t="shared" si="175"/>
        <v>11571.944</v>
      </c>
      <c r="K738" s="5">
        <f t="shared" si="172"/>
        <v>1297.7395985196815</v>
      </c>
      <c r="L738" s="5">
        <f t="shared" si="173"/>
        <v>0.38259891406742402</v>
      </c>
      <c r="M738" s="5">
        <f t="shared" si="176"/>
        <v>0</v>
      </c>
      <c r="N738" s="5">
        <f t="shared" si="177"/>
        <v>12519.3</v>
      </c>
    </row>
    <row r="739" spans="1:14" s="13" customFormat="1" ht="31.5" x14ac:dyDescent="0.25">
      <c r="A739" s="38">
        <v>12</v>
      </c>
      <c r="B739" s="34" t="s">
        <v>985</v>
      </c>
      <c r="C739" s="18" t="s">
        <v>580</v>
      </c>
      <c r="D739" s="32" t="s">
        <v>1914</v>
      </c>
      <c r="E739" s="5">
        <v>5.3070000000000004</v>
      </c>
      <c r="F739" s="5">
        <v>0.52500000000000002</v>
      </c>
      <c r="G739" s="5">
        <f t="shared" si="174"/>
        <v>5.8320000000000007</v>
      </c>
      <c r="H739" s="49">
        <v>15089.362000000001</v>
      </c>
      <c r="I739" s="49"/>
      <c r="J739" s="5">
        <f t="shared" si="175"/>
        <v>15089.362000000001</v>
      </c>
      <c r="K739" s="5">
        <f t="shared" si="172"/>
        <v>2587.3391632373114</v>
      </c>
      <c r="L739" s="5">
        <f t="shared" si="173"/>
        <v>0.76279798759928175</v>
      </c>
      <c r="M739" s="5">
        <f t="shared" si="176"/>
        <v>0</v>
      </c>
      <c r="N739" s="5">
        <f t="shared" si="177"/>
        <v>2171.3000000000002</v>
      </c>
    </row>
    <row r="740" spans="1:14" s="13" customFormat="1" ht="31.5" x14ac:dyDescent="0.25">
      <c r="A740" s="39">
        <v>12</v>
      </c>
      <c r="B740" s="34" t="s">
        <v>985</v>
      </c>
      <c r="C740" s="18">
        <v>12509000000</v>
      </c>
      <c r="D740" s="32" t="s">
        <v>1915</v>
      </c>
      <c r="E740" s="5">
        <v>4.4050000000000002</v>
      </c>
      <c r="F740" s="5">
        <v>1.175</v>
      </c>
      <c r="G740" s="5">
        <f t="shared" si="174"/>
        <v>5.58</v>
      </c>
      <c r="H740" s="49">
        <v>11041.311999999998</v>
      </c>
      <c r="I740" s="49">
        <f>(7176.64)*0.6</f>
        <v>4305.9840000000004</v>
      </c>
      <c r="J740" s="5">
        <f t="shared" si="175"/>
        <v>15347.295999999998</v>
      </c>
      <c r="K740" s="5">
        <f t="shared" si="172"/>
        <v>2750.41146953405</v>
      </c>
      <c r="L740" s="5">
        <f t="shared" si="173"/>
        <v>0.81087488020144294</v>
      </c>
      <c r="M740" s="5">
        <f t="shared" si="176"/>
        <v>0</v>
      </c>
      <c r="N740" s="5">
        <f t="shared" si="177"/>
        <v>1349.5</v>
      </c>
    </row>
    <row r="741" spans="1:14" s="13" customFormat="1" ht="31.5" x14ac:dyDescent="0.25">
      <c r="A741" s="39">
        <v>12</v>
      </c>
      <c r="B741" s="34" t="s">
        <v>984</v>
      </c>
      <c r="C741" s="18">
        <v>12510000000</v>
      </c>
      <c r="D741" s="32" t="s">
        <v>3014</v>
      </c>
      <c r="E741" s="5">
        <v>4.2859999999999996</v>
      </c>
      <c r="F741" s="5">
        <v>0.96899999999999997</v>
      </c>
      <c r="G741" s="5">
        <f t="shared" si="174"/>
        <v>5.2549999999999999</v>
      </c>
      <c r="H741" s="49">
        <v>7842.8819999999996</v>
      </c>
      <c r="I741" s="49"/>
      <c r="J741" s="5">
        <f t="shared" si="175"/>
        <v>7842.8819999999996</v>
      </c>
      <c r="K741" s="5">
        <f t="shared" si="172"/>
        <v>1492.4608943862986</v>
      </c>
      <c r="L741" s="5">
        <f t="shared" si="173"/>
        <v>0.44000654532823386</v>
      </c>
      <c r="M741" s="5">
        <f t="shared" si="176"/>
        <v>0</v>
      </c>
      <c r="N741" s="5">
        <f t="shared" si="177"/>
        <v>6559.3</v>
      </c>
    </row>
    <row r="742" spans="1:14" s="13" customFormat="1" ht="31.5" x14ac:dyDescent="0.25">
      <c r="A742" s="39">
        <v>12</v>
      </c>
      <c r="B742" s="34" t="s">
        <v>985</v>
      </c>
      <c r="C742" s="18">
        <v>12511000000</v>
      </c>
      <c r="D742" s="32" t="s">
        <v>3015</v>
      </c>
      <c r="E742" s="5">
        <v>14.02</v>
      </c>
      <c r="F742" s="5">
        <v>29.338000000000001</v>
      </c>
      <c r="G742" s="5">
        <f t="shared" si="174"/>
        <v>43.358000000000004</v>
      </c>
      <c r="H742" s="49">
        <v>52796.853999999999</v>
      </c>
      <c r="I742" s="49"/>
      <c r="J742" s="5">
        <f t="shared" si="175"/>
        <v>52796.853999999999</v>
      </c>
      <c r="K742" s="5">
        <f t="shared" si="172"/>
        <v>1217.6957885511324</v>
      </c>
      <c r="L742" s="5">
        <f t="shared" si="173"/>
        <v>0.35900043960712447</v>
      </c>
      <c r="M742" s="5">
        <f t="shared" si="176"/>
        <v>0</v>
      </c>
      <c r="N742" s="5">
        <f t="shared" si="177"/>
        <v>63650.2</v>
      </c>
    </row>
    <row r="743" spans="1:14" s="13" customFormat="1" ht="31.5" x14ac:dyDescent="0.25">
      <c r="A743" s="39">
        <v>12</v>
      </c>
      <c r="B743" s="34" t="s">
        <v>984</v>
      </c>
      <c r="C743" s="18">
        <v>12515000000</v>
      </c>
      <c r="D743" s="32" t="s">
        <v>3016</v>
      </c>
      <c r="E743" s="5">
        <v>3.2109999999999999</v>
      </c>
      <c r="F743" s="5">
        <v>0.18099999999999999</v>
      </c>
      <c r="G743" s="5">
        <f t="shared" si="174"/>
        <v>3.3919999999999999</v>
      </c>
      <c r="H743" s="49">
        <v>8937.9110000000001</v>
      </c>
      <c r="I743" s="49"/>
      <c r="J743" s="5">
        <f t="shared" si="175"/>
        <v>8937.9110000000001</v>
      </c>
      <c r="K743" s="5">
        <f t="shared" si="172"/>
        <v>2634.9973466981132</v>
      </c>
      <c r="L743" s="5">
        <f t="shared" si="173"/>
        <v>0.77684854848170237</v>
      </c>
      <c r="M743" s="5">
        <f t="shared" si="176"/>
        <v>0</v>
      </c>
      <c r="N743" s="5">
        <f t="shared" si="177"/>
        <v>1133.5</v>
      </c>
    </row>
    <row r="744" spans="1:14" s="13" customFormat="1" ht="31.5" x14ac:dyDescent="0.25">
      <c r="A744" s="39">
        <v>12</v>
      </c>
      <c r="B744" s="34" t="s">
        <v>985</v>
      </c>
      <c r="C744" s="18">
        <v>12516000000</v>
      </c>
      <c r="D744" s="80" t="s">
        <v>1919</v>
      </c>
      <c r="E744" s="86">
        <v>9.6620000000000008</v>
      </c>
      <c r="F744" s="86">
        <v>1.726</v>
      </c>
      <c r="G744" s="86">
        <f t="shared" ref="G744:G758" si="178">F744+E744</f>
        <v>11.388000000000002</v>
      </c>
      <c r="H744" s="86">
        <v>16048.594000000001</v>
      </c>
      <c r="I744" s="86"/>
      <c r="J744" s="5">
        <f t="shared" si="175"/>
        <v>16048.594000000001</v>
      </c>
      <c r="K744" s="5">
        <f t="shared" si="172"/>
        <v>1409.2548296452405</v>
      </c>
      <c r="L744" s="5">
        <f t="shared" si="173"/>
        <v>0.41547577655916346</v>
      </c>
      <c r="M744" s="5">
        <f t="shared" si="176"/>
        <v>0</v>
      </c>
      <c r="N744" s="5">
        <f t="shared" si="177"/>
        <v>14972.6</v>
      </c>
    </row>
    <row r="745" spans="1:14" s="13" customFormat="1" ht="15.75" x14ac:dyDescent="0.25">
      <c r="A745" s="39">
        <v>12</v>
      </c>
      <c r="B745" s="34" t="s">
        <v>983</v>
      </c>
      <c r="C745" s="18">
        <v>12517000000</v>
      </c>
      <c r="D745" s="80" t="s">
        <v>1920</v>
      </c>
      <c r="E745" s="86">
        <v>33.125</v>
      </c>
      <c r="F745" s="86">
        <v>5.8810000000000002</v>
      </c>
      <c r="G745" s="86">
        <f t="shared" si="178"/>
        <v>39.006</v>
      </c>
      <c r="H745" s="86">
        <v>93641.597999999998</v>
      </c>
      <c r="I745" s="86"/>
      <c r="J745" s="5">
        <f t="shared" si="175"/>
        <v>93641.597999999998</v>
      </c>
      <c r="K745" s="5">
        <f t="shared" si="172"/>
        <v>2400.6972773419475</v>
      </c>
      <c r="L745" s="5">
        <f t="shared" si="173"/>
        <v>0.70777232378774524</v>
      </c>
      <c r="M745" s="5">
        <f t="shared" si="176"/>
        <v>0</v>
      </c>
      <c r="N745" s="5">
        <f t="shared" si="177"/>
        <v>20346.099999999999</v>
      </c>
    </row>
    <row r="746" spans="1:14" s="13" customFormat="1" ht="15.75" x14ac:dyDescent="0.25">
      <c r="A746" s="39">
        <v>12</v>
      </c>
      <c r="B746" s="34" t="s">
        <v>983</v>
      </c>
      <c r="C746" s="18">
        <v>12518000000</v>
      </c>
      <c r="D746" s="80" t="s">
        <v>1921</v>
      </c>
      <c r="E746" s="86">
        <v>21.968</v>
      </c>
      <c r="F746" s="86">
        <v>18.07</v>
      </c>
      <c r="G746" s="86">
        <f t="shared" si="178"/>
        <v>40.037999999999997</v>
      </c>
      <c r="H746" s="86">
        <v>64148.508000000002</v>
      </c>
      <c r="I746" s="86"/>
      <c r="J746" s="5">
        <f t="shared" si="175"/>
        <v>64148.508000000002</v>
      </c>
      <c r="K746" s="5">
        <f t="shared" si="172"/>
        <v>1602.1906189120336</v>
      </c>
      <c r="L746" s="5">
        <f t="shared" si="173"/>
        <v>0.47235700569204864</v>
      </c>
      <c r="M746" s="5">
        <f t="shared" si="176"/>
        <v>0</v>
      </c>
      <c r="N746" s="5">
        <f t="shared" si="177"/>
        <v>46460.9</v>
      </c>
    </row>
    <row r="747" spans="1:14" s="13" customFormat="1" ht="31.5" x14ac:dyDescent="0.25">
      <c r="A747" s="39">
        <v>12</v>
      </c>
      <c r="B747" s="34" t="s">
        <v>986</v>
      </c>
      <c r="C747" s="18">
        <v>12519000000</v>
      </c>
      <c r="D747" s="80" t="s">
        <v>1922</v>
      </c>
      <c r="E747" s="86">
        <v>113.782</v>
      </c>
      <c r="F747" s="86">
        <v>15.942</v>
      </c>
      <c r="G747" s="86">
        <f t="shared" si="178"/>
        <v>129.72399999999999</v>
      </c>
      <c r="H747" s="86">
        <v>264930.61699999997</v>
      </c>
      <c r="I747" s="86">
        <f>(96.1)*0.6</f>
        <v>57.66</v>
      </c>
      <c r="J747" s="5">
        <f t="shared" si="175"/>
        <v>264988.27699999994</v>
      </c>
      <c r="K747" s="5">
        <f t="shared" si="172"/>
        <v>2042.7081881533099</v>
      </c>
      <c r="L747" s="5">
        <f t="shared" si="173"/>
        <v>0.60223016654156514</v>
      </c>
      <c r="M747" s="5">
        <f t="shared" si="176"/>
        <v>0</v>
      </c>
      <c r="N747" s="5">
        <f t="shared" si="177"/>
        <v>104817.8</v>
      </c>
    </row>
    <row r="748" spans="1:14" s="12" customFormat="1" ht="31.5" customHeight="1" x14ac:dyDescent="0.25">
      <c r="A748" s="39">
        <v>12</v>
      </c>
      <c r="B748" s="34" t="s">
        <v>985</v>
      </c>
      <c r="C748" s="18">
        <v>12520000000</v>
      </c>
      <c r="D748" s="80" t="s">
        <v>1923</v>
      </c>
      <c r="E748" s="86">
        <v>14.755000000000001</v>
      </c>
      <c r="F748" s="86">
        <v>15.983000000000001</v>
      </c>
      <c r="G748" s="86">
        <f t="shared" si="178"/>
        <v>30.738</v>
      </c>
      <c r="H748" s="86">
        <v>35035.858999999997</v>
      </c>
      <c r="I748" s="86"/>
      <c r="J748" s="5">
        <f t="shared" si="175"/>
        <v>35035.858999999997</v>
      </c>
      <c r="K748" s="5">
        <f t="shared" si="172"/>
        <v>1139.8223371722297</v>
      </c>
      <c r="L748" s="5">
        <f t="shared" si="173"/>
        <v>0.3360418291384013</v>
      </c>
      <c r="M748" s="5">
        <f t="shared" si="176"/>
        <v>0</v>
      </c>
      <c r="N748" s="5">
        <f t="shared" si="177"/>
        <v>47038.8</v>
      </c>
    </row>
    <row r="749" spans="1:14" ht="31.5" x14ac:dyDescent="0.25">
      <c r="A749" s="39">
        <v>12</v>
      </c>
      <c r="B749" s="34" t="s">
        <v>984</v>
      </c>
      <c r="C749" s="18">
        <v>12521000000</v>
      </c>
      <c r="D749" s="80" t="s">
        <v>1924</v>
      </c>
      <c r="E749" s="86">
        <v>7.149</v>
      </c>
      <c r="F749" s="86">
        <v>1.28</v>
      </c>
      <c r="G749" s="86">
        <f t="shared" si="178"/>
        <v>8.4290000000000003</v>
      </c>
      <c r="H749" s="86">
        <v>12796.139000000001</v>
      </c>
      <c r="I749" s="86"/>
      <c r="J749" s="5">
        <f t="shared" si="175"/>
        <v>12796.139000000001</v>
      </c>
      <c r="K749" s="5">
        <f t="shared" si="172"/>
        <v>1518.1087910784199</v>
      </c>
      <c r="L749" s="5">
        <f t="shared" si="173"/>
        <v>0.44756804490311969</v>
      </c>
      <c r="M749" s="5">
        <f t="shared" si="176"/>
        <v>0</v>
      </c>
      <c r="N749" s="5">
        <f t="shared" si="177"/>
        <v>10348.200000000001</v>
      </c>
    </row>
    <row r="750" spans="1:14" ht="31.5" x14ac:dyDescent="0.25">
      <c r="A750" s="39">
        <v>12</v>
      </c>
      <c r="B750" s="34" t="s">
        <v>985</v>
      </c>
      <c r="C750" s="18">
        <v>12522000000</v>
      </c>
      <c r="D750" s="80" t="s">
        <v>1925</v>
      </c>
      <c r="E750" s="86">
        <v>21.007000000000001</v>
      </c>
      <c r="F750" s="86">
        <v>9.5380000000000003</v>
      </c>
      <c r="G750" s="86">
        <f t="shared" si="178"/>
        <v>30.545000000000002</v>
      </c>
      <c r="H750" s="86">
        <v>53175.247999999992</v>
      </c>
      <c r="I750" s="86"/>
      <c r="J750" s="5">
        <f t="shared" si="175"/>
        <v>53175.247999999992</v>
      </c>
      <c r="K750" s="5">
        <f t="shared" si="172"/>
        <v>1740.8822393190371</v>
      </c>
      <c r="L750" s="5">
        <f t="shared" si="173"/>
        <v>0.51324599714957952</v>
      </c>
      <c r="M750" s="5">
        <f t="shared" si="176"/>
        <v>0</v>
      </c>
      <c r="N750" s="5">
        <f t="shared" si="177"/>
        <v>32056</v>
      </c>
    </row>
    <row r="751" spans="1:14" ht="31.5" x14ac:dyDescent="0.25">
      <c r="A751" s="39">
        <v>12</v>
      </c>
      <c r="B751" s="34" t="s">
        <v>983</v>
      </c>
      <c r="C751" s="18">
        <v>12523000000</v>
      </c>
      <c r="D751" s="80" t="s">
        <v>1926</v>
      </c>
      <c r="E751" s="86">
        <v>25.18</v>
      </c>
      <c r="F751" s="86">
        <v>4.5599999999999996</v>
      </c>
      <c r="G751" s="86">
        <f t="shared" si="178"/>
        <v>29.74</v>
      </c>
      <c r="H751" s="86">
        <v>88506.755000000005</v>
      </c>
      <c r="I751" s="86"/>
      <c r="J751" s="5">
        <f t="shared" si="175"/>
        <v>88506.755000000005</v>
      </c>
      <c r="K751" s="5">
        <f t="shared" si="172"/>
        <v>2976.0173167451248</v>
      </c>
      <c r="L751" s="5">
        <f t="shared" si="173"/>
        <v>0.87738787884052194</v>
      </c>
      <c r="M751" s="5">
        <f t="shared" si="176"/>
        <v>0</v>
      </c>
      <c r="N751" s="5">
        <f t="shared" si="177"/>
        <v>1824.8</v>
      </c>
    </row>
    <row r="752" spans="1:14" ht="15.75" x14ac:dyDescent="0.25">
      <c r="A752" s="39">
        <v>12</v>
      </c>
      <c r="B752" s="34" t="s">
        <v>986</v>
      </c>
      <c r="C752" s="18">
        <v>12524000000</v>
      </c>
      <c r="D752" s="80" t="s">
        <v>1927</v>
      </c>
      <c r="E752" s="86">
        <v>59.725000000000001</v>
      </c>
      <c r="F752" s="86">
        <v>5.63</v>
      </c>
      <c r="G752" s="86">
        <f t="shared" si="178"/>
        <v>65.355000000000004</v>
      </c>
      <c r="H752" s="86">
        <v>174951.93900000001</v>
      </c>
      <c r="I752" s="86"/>
      <c r="J752" s="5">
        <f t="shared" si="175"/>
        <v>174951.93900000001</v>
      </c>
      <c r="K752" s="5">
        <f t="shared" si="172"/>
        <v>2676.9480376405786</v>
      </c>
      <c r="L752" s="5">
        <f t="shared" si="173"/>
        <v>0.78921642938575565</v>
      </c>
      <c r="M752" s="5">
        <f t="shared" si="176"/>
        <v>0</v>
      </c>
      <c r="N752" s="5">
        <f t="shared" si="177"/>
        <v>19646.599999999999</v>
      </c>
    </row>
    <row r="753" spans="1:14" ht="15.75" x14ac:dyDescent="0.25">
      <c r="A753" s="39">
        <v>12</v>
      </c>
      <c r="B753" s="34" t="s">
        <v>983</v>
      </c>
      <c r="C753" s="18">
        <v>12525000000</v>
      </c>
      <c r="D753" s="80" t="s">
        <v>1928</v>
      </c>
      <c r="E753" s="86">
        <v>26.425000000000001</v>
      </c>
      <c r="F753" s="86">
        <v>7.1619999999999999</v>
      </c>
      <c r="G753" s="86">
        <f t="shared" si="178"/>
        <v>33.587000000000003</v>
      </c>
      <c r="H753" s="86">
        <v>83253.242999999988</v>
      </c>
      <c r="I753" s="86"/>
      <c r="J753" s="5">
        <f t="shared" si="175"/>
        <v>83253.242999999988</v>
      </c>
      <c r="K753" s="5">
        <f t="shared" si="172"/>
        <v>2478.7341233215225</v>
      </c>
      <c r="L753" s="5">
        <f t="shared" si="173"/>
        <v>0.7307791061677309</v>
      </c>
      <c r="M753" s="5">
        <f t="shared" si="176"/>
        <v>0</v>
      </c>
      <c r="N753" s="5">
        <f t="shared" si="177"/>
        <v>15422.7</v>
      </c>
    </row>
    <row r="754" spans="1:14" ht="31.5" x14ac:dyDescent="0.25">
      <c r="A754" s="39">
        <v>12</v>
      </c>
      <c r="B754" s="34" t="s">
        <v>986</v>
      </c>
      <c r="C754" s="18">
        <v>12526000000</v>
      </c>
      <c r="D754" s="80" t="s">
        <v>1929</v>
      </c>
      <c r="E754" s="86">
        <v>115.64100000000001</v>
      </c>
      <c r="F754" s="86">
        <v>51.893999999999998</v>
      </c>
      <c r="G754" s="86">
        <f t="shared" si="178"/>
        <v>167.535</v>
      </c>
      <c r="H754" s="86">
        <v>669037.77799999993</v>
      </c>
      <c r="I754" s="86"/>
      <c r="J754" s="5">
        <f t="shared" si="175"/>
        <v>669037.77799999993</v>
      </c>
      <c r="K754" s="5">
        <f t="shared" si="172"/>
        <v>3993.4209448771894</v>
      </c>
      <c r="L754" s="5">
        <f t="shared" si="173"/>
        <v>1.1773382877943732</v>
      </c>
      <c r="M754" s="5">
        <f t="shared" si="176"/>
        <v>21974.2</v>
      </c>
      <c r="N754" s="5">
        <f t="shared" si="177"/>
        <v>0</v>
      </c>
    </row>
    <row r="755" spans="1:14" ht="31.5" x14ac:dyDescent="0.25">
      <c r="A755" s="39">
        <v>12</v>
      </c>
      <c r="B755" s="34" t="s">
        <v>985</v>
      </c>
      <c r="C755" s="18">
        <v>12527000000</v>
      </c>
      <c r="D755" s="80" t="s">
        <v>1930</v>
      </c>
      <c r="E755" s="86">
        <v>23.236999999999998</v>
      </c>
      <c r="F755" s="86">
        <v>15.279</v>
      </c>
      <c r="G755" s="86">
        <f t="shared" si="178"/>
        <v>38.515999999999998</v>
      </c>
      <c r="H755" s="86">
        <v>56466.920999999995</v>
      </c>
      <c r="I755" s="86"/>
      <c r="J755" s="5">
        <f t="shared" si="175"/>
        <v>56466.920999999995</v>
      </c>
      <c r="K755" s="5">
        <f t="shared" si="172"/>
        <v>1466.0639993768823</v>
      </c>
      <c r="L755" s="5">
        <f t="shared" si="173"/>
        <v>0.43222422645865882</v>
      </c>
      <c r="M755" s="5">
        <f t="shared" si="176"/>
        <v>0</v>
      </c>
      <c r="N755" s="5">
        <f t="shared" si="177"/>
        <v>48889.2</v>
      </c>
    </row>
    <row r="756" spans="1:14" ht="31.5" x14ac:dyDescent="0.25">
      <c r="A756" s="39">
        <v>12</v>
      </c>
      <c r="B756" s="34" t="s">
        <v>983</v>
      </c>
      <c r="C756" s="18">
        <v>12528000000</v>
      </c>
      <c r="D756" s="80" t="s">
        <v>1931</v>
      </c>
      <c r="E756" s="86">
        <v>28.457999999999998</v>
      </c>
      <c r="F756" s="86">
        <v>25.155999999999999</v>
      </c>
      <c r="G756" s="86">
        <f t="shared" si="178"/>
        <v>53.613999999999997</v>
      </c>
      <c r="H756" s="86">
        <v>128589.289</v>
      </c>
      <c r="I756" s="86"/>
      <c r="J756" s="5">
        <f t="shared" si="175"/>
        <v>128589.289</v>
      </c>
      <c r="K756" s="5">
        <f t="shared" si="172"/>
        <v>2398.4274443242439</v>
      </c>
      <c r="L756" s="5">
        <f t="shared" si="173"/>
        <v>0.70710313279698078</v>
      </c>
      <c r="M756" s="5">
        <f t="shared" si="176"/>
        <v>0</v>
      </c>
      <c r="N756" s="5">
        <f t="shared" si="177"/>
        <v>28063.200000000001</v>
      </c>
    </row>
    <row r="757" spans="1:14" ht="31.5" x14ac:dyDescent="0.25">
      <c r="A757" s="39">
        <v>12</v>
      </c>
      <c r="B757" s="34" t="s">
        <v>984</v>
      </c>
      <c r="C757" s="18">
        <v>12529000000</v>
      </c>
      <c r="D757" s="80" t="s">
        <v>1618</v>
      </c>
      <c r="E757" s="86">
        <v>6.6520000000000001</v>
      </c>
      <c r="F757" s="86">
        <v>1.0389999999999999</v>
      </c>
      <c r="G757" s="86">
        <f t="shared" si="178"/>
        <v>7.6909999999999998</v>
      </c>
      <c r="H757" s="86">
        <v>10054.615</v>
      </c>
      <c r="I757" s="86"/>
      <c r="J757" s="5">
        <f t="shared" si="175"/>
        <v>10054.615</v>
      </c>
      <c r="K757" s="5">
        <f t="shared" si="172"/>
        <v>1307.3221947731115</v>
      </c>
      <c r="L757" s="5">
        <f t="shared" si="173"/>
        <v>0.38542405011528064</v>
      </c>
      <c r="M757" s="5">
        <f t="shared" si="176"/>
        <v>0</v>
      </c>
      <c r="N757" s="5">
        <f t="shared" si="177"/>
        <v>10739.1</v>
      </c>
    </row>
    <row r="758" spans="1:14" ht="15.75" x14ac:dyDescent="0.25">
      <c r="A758" s="39">
        <v>12</v>
      </c>
      <c r="B758" s="34" t="s">
        <v>983</v>
      </c>
      <c r="C758" s="18">
        <v>12530000000</v>
      </c>
      <c r="D758" s="80" t="s">
        <v>1932</v>
      </c>
      <c r="E758" s="86">
        <v>20.922000000000001</v>
      </c>
      <c r="F758" s="86">
        <v>5.9480000000000004</v>
      </c>
      <c r="G758" s="86">
        <f t="shared" si="178"/>
        <v>26.87</v>
      </c>
      <c r="H758" s="86">
        <v>58666.008999999998</v>
      </c>
      <c r="I758" s="86"/>
      <c r="J758" s="5">
        <f t="shared" si="175"/>
        <v>58666.008999999998</v>
      </c>
      <c r="K758" s="5">
        <f t="shared" si="172"/>
        <v>2183.3274655749906</v>
      </c>
      <c r="L758" s="5">
        <f t="shared" si="173"/>
        <v>0.64368746883845951</v>
      </c>
      <c r="M758" s="5">
        <f t="shared" si="176"/>
        <v>0</v>
      </c>
      <c r="N758" s="5">
        <f t="shared" si="177"/>
        <v>18688.400000000001</v>
      </c>
    </row>
    <row r="759" spans="1:14" ht="15.75" x14ac:dyDescent="0.25">
      <c r="A759" s="36">
        <v>13</v>
      </c>
      <c r="B759" s="17" t="s">
        <v>7</v>
      </c>
      <c r="C759" s="17" t="s">
        <v>790</v>
      </c>
      <c r="D759" s="11" t="s">
        <v>850</v>
      </c>
      <c r="E759" s="11">
        <f t="shared" ref="E759:J759" si="179">E760+E761+E769</f>
        <v>2497.7500000000005</v>
      </c>
      <c r="F759" s="11">
        <f t="shared" si="179"/>
        <v>11.472</v>
      </c>
      <c r="G759" s="11">
        <f t="shared" si="179"/>
        <v>2507.7039999999997</v>
      </c>
      <c r="H759" s="11">
        <f t="shared" si="179"/>
        <v>8737396.6292959992</v>
      </c>
      <c r="I759" s="11">
        <f t="shared" si="179"/>
        <v>7145.9081339999757</v>
      </c>
      <c r="J759" s="11">
        <f t="shared" si="179"/>
        <v>8744542.5374299977</v>
      </c>
      <c r="K759" s="11">
        <f t="shared" si="172"/>
        <v>3487.0712561889277</v>
      </c>
      <c r="L759" s="11">
        <f t="shared" si="173"/>
        <v>1.0280565356990439</v>
      </c>
      <c r="M759" s="11">
        <f>M760+M761+M769</f>
        <v>873268.2</v>
      </c>
      <c r="N759" s="11">
        <f>N760+N761+N769</f>
        <v>1130347.0999999996</v>
      </c>
    </row>
    <row r="760" spans="1:14" ht="15.75" x14ac:dyDescent="0.25">
      <c r="A760" s="38">
        <v>13</v>
      </c>
      <c r="B760" s="34" t="s">
        <v>6</v>
      </c>
      <c r="C760" s="18" t="s">
        <v>119</v>
      </c>
      <c r="D760" s="32" t="s">
        <v>851</v>
      </c>
      <c r="E760" s="5">
        <v>0</v>
      </c>
      <c r="F760" s="5">
        <v>1.518</v>
      </c>
      <c r="G760" s="5"/>
      <c r="H760" s="49"/>
      <c r="I760" s="49"/>
      <c r="J760" s="5"/>
      <c r="K760" s="5"/>
      <c r="L760" s="5"/>
      <c r="M760" s="5"/>
      <c r="N760" s="5"/>
    </row>
    <row r="761" spans="1:14" ht="15.75" x14ac:dyDescent="0.25">
      <c r="A761" s="37">
        <v>13</v>
      </c>
      <c r="B761" s="19" t="s">
        <v>5</v>
      </c>
      <c r="C761" s="19" t="s">
        <v>791</v>
      </c>
      <c r="D761" s="7" t="s">
        <v>2805</v>
      </c>
      <c r="E761" s="7">
        <f t="shared" ref="E761:J761" si="180">SUM(E762:E768)</f>
        <v>0</v>
      </c>
      <c r="F761" s="7">
        <f t="shared" si="180"/>
        <v>0</v>
      </c>
      <c r="G761" s="7">
        <f t="shared" si="180"/>
        <v>0</v>
      </c>
      <c r="H761" s="7">
        <f t="shared" si="180"/>
        <v>0</v>
      </c>
      <c r="I761" s="7">
        <f t="shared" si="180"/>
        <v>0</v>
      </c>
      <c r="J761" s="7">
        <f t="shared" si="180"/>
        <v>0</v>
      </c>
      <c r="K761" s="7" t="e">
        <f>J761/G761</f>
        <v>#DIV/0!</v>
      </c>
      <c r="L761" s="7" t="e">
        <f>K761/$K$1659</f>
        <v>#DIV/0!</v>
      </c>
      <c r="M761" s="7">
        <f>SUM(M762:M768)</f>
        <v>0</v>
      </c>
      <c r="N761" s="7">
        <f>SUM(N762:N768)</f>
        <v>0</v>
      </c>
    </row>
    <row r="762" spans="1:14" ht="15.75" x14ac:dyDescent="0.25">
      <c r="A762" s="38">
        <v>13</v>
      </c>
      <c r="B762" s="34" t="s">
        <v>4</v>
      </c>
      <c r="C762" s="18" t="s">
        <v>120</v>
      </c>
      <c r="D762" s="32" t="s">
        <v>924</v>
      </c>
      <c r="E762" s="5"/>
      <c r="F762" s="5"/>
      <c r="G762" s="5"/>
      <c r="H762" s="49"/>
      <c r="I762" s="49"/>
      <c r="J762" s="5"/>
      <c r="K762" s="5"/>
      <c r="L762" s="5"/>
      <c r="M762" s="5"/>
      <c r="N762" s="5"/>
    </row>
    <row r="763" spans="1:14" ht="15.75" x14ac:dyDescent="0.25">
      <c r="A763" s="38">
        <v>13</v>
      </c>
      <c r="B763" s="34" t="s">
        <v>4</v>
      </c>
      <c r="C763" s="18" t="s">
        <v>121</v>
      </c>
      <c r="D763" s="32" t="s">
        <v>925</v>
      </c>
      <c r="E763" s="5"/>
      <c r="F763" s="5"/>
      <c r="G763" s="5"/>
      <c r="H763" s="49"/>
      <c r="I763" s="49"/>
      <c r="J763" s="5"/>
      <c r="K763" s="5"/>
      <c r="L763" s="5"/>
      <c r="M763" s="5"/>
      <c r="N763" s="5"/>
    </row>
    <row r="764" spans="1:14" ht="15.75" x14ac:dyDescent="0.25">
      <c r="A764" s="38">
        <v>13</v>
      </c>
      <c r="B764" s="34" t="s">
        <v>4</v>
      </c>
      <c r="C764" s="18" t="s">
        <v>122</v>
      </c>
      <c r="D764" s="32" t="s">
        <v>927</v>
      </c>
      <c r="E764" s="5"/>
      <c r="F764" s="5"/>
      <c r="G764" s="5"/>
      <c r="H764" s="49"/>
      <c r="I764" s="49"/>
      <c r="J764" s="5"/>
      <c r="K764" s="5"/>
      <c r="L764" s="5"/>
      <c r="M764" s="5"/>
      <c r="N764" s="5"/>
    </row>
    <row r="765" spans="1:14" ht="15.75" x14ac:dyDescent="0.25">
      <c r="A765" s="38">
        <v>13</v>
      </c>
      <c r="B765" s="34" t="s">
        <v>4</v>
      </c>
      <c r="C765" s="18" t="s">
        <v>123</v>
      </c>
      <c r="D765" s="32" t="s">
        <v>928</v>
      </c>
      <c r="E765" s="5"/>
      <c r="F765" s="5"/>
      <c r="G765" s="5"/>
      <c r="H765" s="49"/>
      <c r="I765" s="49"/>
      <c r="J765" s="5"/>
      <c r="K765" s="5"/>
      <c r="L765" s="5"/>
      <c r="M765" s="5"/>
      <c r="N765" s="5"/>
    </row>
    <row r="766" spans="1:14" ht="15.75" x14ac:dyDescent="0.25">
      <c r="A766" s="38">
        <v>13</v>
      </c>
      <c r="B766" s="34" t="s">
        <v>4</v>
      </c>
      <c r="C766" s="18" t="s">
        <v>124</v>
      </c>
      <c r="D766" s="32" t="s">
        <v>929</v>
      </c>
      <c r="E766" s="5"/>
      <c r="F766" s="5"/>
      <c r="G766" s="5"/>
      <c r="H766" s="49"/>
      <c r="I766" s="49"/>
      <c r="J766" s="5"/>
      <c r="K766" s="5"/>
      <c r="L766" s="5"/>
      <c r="M766" s="5"/>
      <c r="N766" s="5"/>
    </row>
    <row r="767" spans="1:14" ht="15.75" x14ac:dyDescent="0.25">
      <c r="A767" s="38">
        <v>13</v>
      </c>
      <c r="B767" s="34" t="s">
        <v>4</v>
      </c>
      <c r="C767" s="18">
        <v>13321200000</v>
      </c>
      <c r="D767" s="32" t="s">
        <v>1933</v>
      </c>
      <c r="E767" s="5"/>
      <c r="F767" s="5"/>
      <c r="G767" s="5"/>
      <c r="H767" s="49"/>
      <c r="I767" s="49"/>
      <c r="J767" s="5"/>
      <c r="K767" s="5"/>
      <c r="L767" s="5"/>
      <c r="M767" s="5"/>
      <c r="N767" s="5"/>
    </row>
    <row r="768" spans="1:14" ht="15.75" x14ac:dyDescent="0.25">
      <c r="A768" s="38">
        <v>13</v>
      </c>
      <c r="B768" s="34" t="s">
        <v>4</v>
      </c>
      <c r="C768" s="18">
        <v>13322200000</v>
      </c>
      <c r="D768" s="32" t="s">
        <v>1934</v>
      </c>
      <c r="E768" s="5"/>
      <c r="F768" s="5"/>
      <c r="G768" s="5"/>
      <c r="H768" s="49"/>
      <c r="I768" s="49"/>
      <c r="J768" s="5"/>
      <c r="K768" s="5"/>
      <c r="L768" s="5"/>
      <c r="M768" s="5"/>
      <c r="N768" s="5"/>
    </row>
    <row r="769" spans="1:14" ht="31.5" x14ac:dyDescent="0.25">
      <c r="A769" s="37">
        <v>13</v>
      </c>
      <c r="B769" s="19" t="s">
        <v>28</v>
      </c>
      <c r="C769" s="19" t="s">
        <v>792</v>
      </c>
      <c r="D769" s="20" t="s">
        <v>2779</v>
      </c>
      <c r="E769" s="7">
        <f t="shared" ref="E769:J769" si="181">SUM(E770:E842)</f>
        <v>2497.7500000000005</v>
      </c>
      <c r="F769" s="7">
        <f t="shared" si="181"/>
        <v>9.9539999999999988</v>
      </c>
      <c r="G769" s="7">
        <f t="shared" si="181"/>
        <v>2507.7039999999997</v>
      </c>
      <c r="H769" s="7">
        <f t="shared" si="181"/>
        <v>8737396.6292959992</v>
      </c>
      <c r="I769" s="7">
        <f t="shared" si="181"/>
        <v>7145.9081339999757</v>
      </c>
      <c r="J769" s="7">
        <f t="shared" si="181"/>
        <v>8744542.5374299977</v>
      </c>
      <c r="K769" s="7">
        <f>J769/G769</f>
        <v>3487.0712561889277</v>
      </c>
      <c r="L769" s="7">
        <f t="shared" ref="L769:L800" si="182">K769/$K$1659</f>
        <v>1.0280565356990439</v>
      </c>
      <c r="M769" s="7">
        <f>SUM(M770:M842)</f>
        <v>873268.2</v>
      </c>
      <c r="N769" s="7">
        <f>SUM(N770:N842)</f>
        <v>1130347.0999999996</v>
      </c>
    </row>
    <row r="770" spans="1:14" ht="31.5" x14ac:dyDescent="0.25">
      <c r="A770" s="38">
        <v>13</v>
      </c>
      <c r="B770" s="34" t="s">
        <v>984</v>
      </c>
      <c r="C770" s="18" t="s">
        <v>125</v>
      </c>
      <c r="D770" s="32" t="s">
        <v>1935</v>
      </c>
      <c r="E770" s="5">
        <v>17.998999999999999</v>
      </c>
      <c r="F770" s="5">
        <v>8.9999999999999993E-3</v>
      </c>
      <c r="G770" s="5">
        <f t="shared" ref="G770:G799" si="183">F770+E770</f>
        <v>18.007999999999999</v>
      </c>
      <c r="H770" s="49">
        <v>16017.662310000003</v>
      </c>
      <c r="I770" s="49"/>
      <c r="J770" s="5">
        <f t="shared" ref="J770:J795" si="184">H770+I770</f>
        <v>16017.662310000003</v>
      </c>
      <c r="K770" s="5">
        <f t="shared" ref="K770:K788" si="185">J770/G770</f>
        <v>889.47480619724593</v>
      </c>
      <c r="L770" s="5">
        <f t="shared" si="182"/>
        <v>0.26223450014902011</v>
      </c>
      <c r="M770" s="5">
        <f t="shared" ref="M770:M801" si="186">ROUND(IF(L770&lt;110%,0,(K770-$K$1659*1.1)*0.5)*G770,1)</f>
        <v>0</v>
      </c>
      <c r="N770" s="5">
        <f t="shared" ref="N770:N801" si="187">ROUND(IF(L770&gt;90%,0,(-K770+$K$1659*0.9)*0.8)*G770,1)</f>
        <v>31164.5</v>
      </c>
    </row>
    <row r="771" spans="1:14" ht="31.5" x14ac:dyDescent="0.25">
      <c r="A771" s="38">
        <v>13</v>
      </c>
      <c r="B771" s="34" t="s">
        <v>985</v>
      </c>
      <c r="C771" s="18" t="s">
        <v>126</v>
      </c>
      <c r="D771" s="32" t="s">
        <v>3017</v>
      </c>
      <c r="E771" s="5">
        <v>7.1180000000000003</v>
      </c>
      <c r="F771" s="5">
        <v>4.0000000000000001E-3</v>
      </c>
      <c r="G771" s="5">
        <f t="shared" si="183"/>
        <v>7.1219999999999999</v>
      </c>
      <c r="H771" s="49">
        <v>14217.031697999999</v>
      </c>
      <c r="I771" s="49"/>
      <c r="J771" s="5">
        <f t="shared" si="184"/>
        <v>14217.031697999999</v>
      </c>
      <c r="K771" s="5">
        <f t="shared" si="185"/>
        <v>1996.2133807919122</v>
      </c>
      <c r="L771" s="5">
        <f t="shared" si="182"/>
        <v>0.58852259159622444</v>
      </c>
      <c r="M771" s="5">
        <f t="shared" si="186"/>
        <v>0</v>
      </c>
      <c r="N771" s="5">
        <f t="shared" si="187"/>
        <v>6019.5</v>
      </c>
    </row>
    <row r="772" spans="1:14" ht="31.5" x14ac:dyDescent="0.25">
      <c r="A772" s="38">
        <v>13</v>
      </c>
      <c r="B772" s="34" t="s">
        <v>984</v>
      </c>
      <c r="C772" s="18" t="s">
        <v>127</v>
      </c>
      <c r="D772" s="32" t="s">
        <v>1937</v>
      </c>
      <c r="E772" s="5">
        <v>6.242</v>
      </c>
      <c r="F772" s="5">
        <v>0.01</v>
      </c>
      <c r="G772" s="5">
        <f t="shared" si="183"/>
        <v>6.2519999999999998</v>
      </c>
      <c r="H772" s="49">
        <v>15595.95588</v>
      </c>
      <c r="I772" s="49"/>
      <c r="J772" s="5">
        <f t="shared" si="184"/>
        <v>15595.95588</v>
      </c>
      <c r="K772" s="5">
        <f t="shared" si="185"/>
        <v>2494.5546833013436</v>
      </c>
      <c r="L772" s="5">
        <f t="shared" si="182"/>
        <v>0.73544331543985497</v>
      </c>
      <c r="M772" s="5">
        <f t="shared" si="186"/>
        <v>0</v>
      </c>
      <c r="N772" s="5">
        <f t="shared" si="187"/>
        <v>2791.7</v>
      </c>
    </row>
    <row r="773" spans="1:14" ht="31.5" x14ac:dyDescent="0.25">
      <c r="A773" s="38">
        <v>13</v>
      </c>
      <c r="B773" s="34" t="s">
        <v>983</v>
      </c>
      <c r="C773" s="18" t="s">
        <v>236</v>
      </c>
      <c r="D773" s="32" t="s">
        <v>1938</v>
      </c>
      <c r="E773" s="5">
        <v>14.227</v>
      </c>
      <c r="F773" s="5">
        <v>1.7000000000000001E-2</v>
      </c>
      <c r="G773" s="5">
        <f t="shared" si="183"/>
        <v>14.244</v>
      </c>
      <c r="H773" s="49">
        <v>45892.63003</v>
      </c>
      <c r="I773" s="49">
        <f>(-19163.99)*0.6</f>
        <v>-11498.394</v>
      </c>
      <c r="J773" s="5">
        <f t="shared" si="184"/>
        <v>34394.23603</v>
      </c>
      <c r="K773" s="5">
        <f t="shared" si="185"/>
        <v>2414.6472921932041</v>
      </c>
      <c r="L773" s="5">
        <f t="shared" si="182"/>
        <v>0.7118850599170915</v>
      </c>
      <c r="M773" s="5">
        <f t="shared" si="186"/>
        <v>0</v>
      </c>
      <c r="N773" s="5">
        <f t="shared" si="187"/>
        <v>7270.9</v>
      </c>
    </row>
    <row r="774" spans="1:14" ht="31.5" x14ac:dyDescent="0.25">
      <c r="A774" s="38">
        <v>13</v>
      </c>
      <c r="B774" s="34" t="s">
        <v>984</v>
      </c>
      <c r="C774" s="18" t="s">
        <v>237</v>
      </c>
      <c r="D774" s="32" t="s">
        <v>1939</v>
      </c>
      <c r="E774" s="5">
        <v>7.9909999999999997</v>
      </c>
      <c r="F774" s="5">
        <v>1E-3</v>
      </c>
      <c r="G774" s="5">
        <f t="shared" si="183"/>
        <v>7.992</v>
      </c>
      <c r="H774" s="49">
        <v>15464.486060000001</v>
      </c>
      <c r="I774" s="49"/>
      <c r="J774" s="5">
        <f t="shared" si="184"/>
        <v>15464.486060000001</v>
      </c>
      <c r="K774" s="5">
        <f t="shared" si="185"/>
        <v>1934.9957532532535</v>
      </c>
      <c r="L774" s="5">
        <f t="shared" si="182"/>
        <v>0.57047444245691192</v>
      </c>
      <c r="M774" s="5">
        <f t="shared" si="186"/>
        <v>0</v>
      </c>
      <c r="N774" s="5">
        <f t="shared" si="187"/>
        <v>7146.3</v>
      </c>
    </row>
    <row r="775" spans="1:14" ht="15.75" x14ac:dyDescent="0.25">
      <c r="A775" s="38">
        <v>13</v>
      </c>
      <c r="B775" s="34" t="s">
        <v>983</v>
      </c>
      <c r="C775" s="18" t="s">
        <v>286</v>
      </c>
      <c r="D775" s="32" t="s">
        <v>1940</v>
      </c>
      <c r="E775" s="5">
        <v>24.402000000000001</v>
      </c>
      <c r="F775" s="5">
        <v>1.2E-2</v>
      </c>
      <c r="G775" s="5">
        <f t="shared" si="183"/>
        <v>24.414000000000001</v>
      </c>
      <c r="H775" s="49">
        <v>38132.455200000004</v>
      </c>
      <c r="I775" s="49"/>
      <c r="J775" s="5">
        <f t="shared" si="184"/>
        <v>38132.455200000004</v>
      </c>
      <c r="K775" s="5">
        <f t="shared" si="185"/>
        <v>1561.9093634799706</v>
      </c>
      <c r="L775" s="5">
        <f t="shared" si="182"/>
        <v>0.46048130689765282</v>
      </c>
      <c r="M775" s="5">
        <f t="shared" si="186"/>
        <v>0</v>
      </c>
      <c r="N775" s="5">
        <f t="shared" si="187"/>
        <v>29117.200000000001</v>
      </c>
    </row>
    <row r="776" spans="1:14" ht="15.75" x14ac:dyDescent="0.25">
      <c r="A776" s="38">
        <v>13</v>
      </c>
      <c r="B776" s="34" t="s">
        <v>983</v>
      </c>
      <c r="C776" s="18" t="s">
        <v>379</v>
      </c>
      <c r="D776" s="32" t="s">
        <v>1941</v>
      </c>
      <c r="E776" s="5">
        <v>32.055</v>
      </c>
      <c r="F776" s="5">
        <v>3.7999999999999999E-2</v>
      </c>
      <c r="G776" s="5">
        <f t="shared" si="183"/>
        <v>32.092999999999996</v>
      </c>
      <c r="H776" s="49">
        <v>55267.87799999999</v>
      </c>
      <c r="I776" s="49"/>
      <c r="J776" s="5">
        <f t="shared" si="184"/>
        <v>55267.87799999999</v>
      </c>
      <c r="K776" s="5">
        <f t="shared" si="185"/>
        <v>1722.1162870407875</v>
      </c>
      <c r="L776" s="5">
        <f t="shared" si="182"/>
        <v>0.50771342885060078</v>
      </c>
      <c r="M776" s="5">
        <f t="shared" si="186"/>
        <v>0</v>
      </c>
      <c r="N776" s="5">
        <f t="shared" si="187"/>
        <v>34162.300000000003</v>
      </c>
    </row>
    <row r="777" spans="1:14" ht="31.5" x14ac:dyDescent="0.25">
      <c r="A777" s="38">
        <v>13</v>
      </c>
      <c r="B777" s="34" t="s">
        <v>983</v>
      </c>
      <c r="C777" s="18" t="s">
        <v>380</v>
      </c>
      <c r="D777" s="32" t="s">
        <v>1942</v>
      </c>
      <c r="E777" s="5">
        <v>12.776</v>
      </c>
      <c r="F777" s="5">
        <v>1.4E-2</v>
      </c>
      <c r="G777" s="5">
        <f t="shared" si="183"/>
        <v>12.79</v>
      </c>
      <c r="H777" s="49">
        <v>13507.222109999999</v>
      </c>
      <c r="I777" s="49"/>
      <c r="J777" s="5">
        <f t="shared" si="184"/>
        <v>13507.222109999999</v>
      </c>
      <c r="K777" s="5">
        <f t="shared" si="185"/>
        <v>1056.0767873338546</v>
      </c>
      <c r="L777" s="5">
        <f t="shared" si="182"/>
        <v>0.31135200965328236</v>
      </c>
      <c r="M777" s="5">
        <f t="shared" si="186"/>
        <v>0</v>
      </c>
      <c r="N777" s="5">
        <f t="shared" si="187"/>
        <v>20429.599999999999</v>
      </c>
    </row>
    <row r="778" spans="1:14" ht="31.5" x14ac:dyDescent="0.25">
      <c r="A778" s="38">
        <v>13</v>
      </c>
      <c r="B778" s="34" t="s">
        <v>984</v>
      </c>
      <c r="C778" s="18" t="s">
        <v>381</v>
      </c>
      <c r="D778" s="32" t="s">
        <v>1943</v>
      </c>
      <c r="E778" s="5">
        <v>20.696000000000002</v>
      </c>
      <c r="F778" s="5">
        <v>3.7999999999999999E-2</v>
      </c>
      <c r="G778" s="5">
        <f t="shared" si="183"/>
        <v>20.734000000000002</v>
      </c>
      <c r="H778" s="49">
        <v>53915.855567999999</v>
      </c>
      <c r="I778" s="49">
        <f>(12.895)*0.6</f>
        <v>7.7369999999999992</v>
      </c>
      <c r="J778" s="5">
        <f t="shared" si="184"/>
        <v>53923.592568</v>
      </c>
      <c r="K778" s="5">
        <f t="shared" si="185"/>
        <v>2600.7327369537957</v>
      </c>
      <c r="L778" s="5">
        <f t="shared" si="182"/>
        <v>0.76674667404242813</v>
      </c>
      <c r="M778" s="5">
        <f t="shared" si="186"/>
        <v>0</v>
      </c>
      <c r="N778" s="5">
        <f t="shared" si="187"/>
        <v>7497.1</v>
      </c>
    </row>
    <row r="779" spans="1:14" ht="31.5" x14ac:dyDescent="0.25">
      <c r="A779" s="38">
        <v>13</v>
      </c>
      <c r="B779" s="34" t="s">
        <v>984</v>
      </c>
      <c r="C779" s="18" t="s">
        <v>382</v>
      </c>
      <c r="D779" s="32" t="s">
        <v>1944</v>
      </c>
      <c r="E779" s="5">
        <v>10.127000000000001</v>
      </c>
      <c r="F779" s="5">
        <v>4.4999999999999998E-2</v>
      </c>
      <c r="G779" s="5">
        <f t="shared" si="183"/>
        <v>10.172000000000001</v>
      </c>
      <c r="H779" s="49">
        <v>31752.245196</v>
      </c>
      <c r="I779" s="49"/>
      <c r="J779" s="5">
        <f t="shared" si="184"/>
        <v>31752.245196</v>
      </c>
      <c r="K779" s="5">
        <f t="shared" si="185"/>
        <v>3121.5341325206446</v>
      </c>
      <c r="L779" s="5">
        <f t="shared" si="182"/>
        <v>0.92028907084989775</v>
      </c>
      <c r="M779" s="5">
        <f t="shared" si="186"/>
        <v>0</v>
      </c>
      <c r="N779" s="5">
        <f t="shared" si="187"/>
        <v>0</v>
      </c>
    </row>
    <row r="780" spans="1:14" ht="31.5" x14ac:dyDescent="0.25">
      <c r="A780" s="38">
        <v>13</v>
      </c>
      <c r="B780" s="34" t="s">
        <v>984</v>
      </c>
      <c r="C780" s="18" t="s">
        <v>383</v>
      </c>
      <c r="D780" s="32" t="s">
        <v>3018</v>
      </c>
      <c r="E780" s="5">
        <v>10.778</v>
      </c>
      <c r="F780" s="5">
        <v>1.4999999999999999E-2</v>
      </c>
      <c r="G780" s="5">
        <f t="shared" si="183"/>
        <v>10.793000000000001</v>
      </c>
      <c r="H780" s="49">
        <v>26819.942663999998</v>
      </c>
      <c r="I780" s="49"/>
      <c r="J780" s="5">
        <f t="shared" si="184"/>
        <v>26819.942663999998</v>
      </c>
      <c r="K780" s="5">
        <f t="shared" si="185"/>
        <v>2484.9386328175665</v>
      </c>
      <c r="L780" s="5">
        <f t="shared" si="182"/>
        <v>0.73260831643319191</v>
      </c>
      <c r="M780" s="5">
        <f t="shared" si="186"/>
        <v>0</v>
      </c>
      <c r="N780" s="5">
        <f t="shared" si="187"/>
        <v>4902.3999999999996</v>
      </c>
    </row>
    <row r="781" spans="1:14" ht="31.5" x14ac:dyDescent="0.25">
      <c r="A781" s="38">
        <v>13</v>
      </c>
      <c r="B781" s="34" t="s">
        <v>985</v>
      </c>
      <c r="C781" s="18" t="s">
        <v>488</v>
      </c>
      <c r="D781" s="32" t="s">
        <v>1946</v>
      </c>
      <c r="E781" s="5">
        <v>9.4730000000000008</v>
      </c>
      <c r="F781" s="5">
        <v>4.0000000000000001E-3</v>
      </c>
      <c r="G781" s="5">
        <f t="shared" si="183"/>
        <v>9.4770000000000003</v>
      </c>
      <c r="H781" s="49">
        <v>31286.853609999998</v>
      </c>
      <c r="I781" s="49">
        <f>(-29335.095)*0.6</f>
        <v>-17601.057000000001</v>
      </c>
      <c r="J781" s="5">
        <f t="shared" si="184"/>
        <v>13685.796609999998</v>
      </c>
      <c r="K781" s="5">
        <f t="shared" si="185"/>
        <v>1444.1064271393898</v>
      </c>
      <c r="L781" s="5">
        <f t="shared" si="182"/>
        <v>0.42575070642181589</v>
      </c>
      <c r="M781" s="5">
        <f t="shared" si="186"/>
        <v>0</v>
      </c>
      <c r="N781" s="5">
        <f t="shared" si="187"/>
        <v>12195.8</v>
      </c>
    </row>
    <row r="782" spans="1:14" ht="31.5" x14ac:dyDescent="0.25">
      <c r="A782" s="38">
        <v>13</v>
      </c>
      <c r="B782" s="34" t="s">
        <v>984</v>
      </c>
      <c r="C782" s="18" t="s">
        <v>489</v>
      </c>
      <c r="D782" s="32" t="s">
        <v>1947</v>
      </c>
      <c r="E782" s="5">
        <v>12.052</v>
      </c>
      <c r="F782" s="5">
        <v>0</v>
      </c>
      <c r="G782" s="5">
        <f t="shared" si="183"/>
        <v>12.052</v>
      </c>
      <c r="H782" s="49">
        <v>18379.324781999996</v>
      </c>
      <c r="I782" s="49"/>
      <c r="J782" s="5">
        <f t="shared" si="184"/>
        <v>18379.324781999996</v>
      </c>
      <c r="K782" s="5">
        <f t="shared" si="185"/>
        <v>1525.0020562562227</v>
      </c>
      <c r="L782" s="5">
        <f t="shared" si="182"/>
        <v>0.44960031376076615</v>
      </c>
      <c r="M782" s="5">
        <f t="shared" si="186"/>
        <v>0</v>
      </c>
      <c r="N782" s="5">
        <f t="shared" si="187"/>
        <v>14729.6</v>
      </c>
    </row>
    <row r="783" spans="1:14" ht="31.5" x14ac:dyDescent="0.25">
      <c r="A783" s="38">
        <v>13</v>
      </c>
      <c r="B783" s="34" t="s">
        <v>984</v>
      </c>
      <c r="C783" s="18" t="s">
        <v>581</v>
      </c>
      <c r="D783" s="32" t="s">
        <v>1948</v>
      </c>
      <c r="E783" s="5">
        <v>8.2029999999999994</v>
      </c>
      <c r="F783" s="5">
        <v>3.0000000000000001E-3</v>
      </c>
      <c r="G783" s="5">
        <f t="shared" si="183"/>
        <v>8.2059999999999995</v>
      </c>
      <c r="H783" s="49">
        <v>12002.674710000001</v>
      </c>
      <c r="I783" s="49"/>
      <c r="J783" s="5">
        <f t="shared" si="184"/>
        <v>12002.674710000001</v>
      </c>
      <c r="K783" s="5">
        <f t="shared" si="185"/>
        <v>1462.6705715330249</v>
      </c>
      <c r="L783" s="5">
        <f t="shared" si="182"/>
        <v>0.43122377782512172</v>
      </c>
      <c r="M783" s="5">
        <f t="shared" si="186"/>
        <v>0</v>
      </c>
      <c r="N783" s="5">
        <f t="shared" si="187"/>
        <v>10438.299999999999</v>
      </c>
    </row>
    <row r="784" spans="1:14" s="13" customFormat="1" ht="31.5" x14ac:dyDescent="0.25">
      <c r="A784" s="38">
        <v>13</v>
      </c>
      <c r="B784" s="34" t="s">
        <v>984</v>
      </c>
      <c r="C784" s="18" t="s">
        <v>582</v>
      </c>
      <c r="D784" s="32" t="s">
        <v>1949</v>
      </c>
      <c r="E784" s="5">
        <v>13.391</v>
      </c>
      <c r="F784" s="5">
        <v>5.6000000000000001E-2</v>
      </c>
      <c r="G784" s="5">
        <f t="shared" si="183"/>
        <v>13.446999999999999</v>
      </c>
      <c r="H784" s="49">
        <v>58125.410237999997</v>
      </c>
      <c r="I784" s="49"/>
      <c r="J784" s="5">
        <f t="shared" si="184"/>
        <v>58125.410237999997</v>
      </c>
      <c r="K784" s="5">
        <f t="shared" si="185"/>
        <v>4322.5559781363872</v>
      </c>
      <c r="L784" s="5">
        <f t="shared" si="182"/>
        <v>1.2743737072653964</v>
      </c>
      <c r="M784" s="5">
        <f t="shared" si="186"/>
        <v>3976.7</v>
      </c>
      <c r="N784" s="5">
        <f t="shared" si="187"/>
        <v>0</v>
      </c>
    </row>
    <row r="785" spans="1:14" s="13" customFormat="1" ht="15.75" x14ac:dyDescent="0.25">
      <c r="A785" s="38">
        <v>13</v>
      </c>
      <c r="B785" s="34" t="s">
        <v>985</v>
      </c>
      <c r="C785" s="18" t="s">
        <v>583</v>
      </c>
      <c r="D785" s="32" t="s">
        <v>1950</v>
      </c>
      <c r="E785" s="5">
        <v>11.696</v>
      </c>
      <c r="F785" s="5">
        <v>1.2E-2</v>
      </c>
      <c r="G785" s="5">
        <f t="shared" si="183"/>
        <v>11.708</v>
      </c>
      <c r="H785" s="49">
        <v>14801.577869999999</v>
      </c>
      <c r="I785" s="49"/>
      <c r="J785" s="5">
        <f t="shared" si="184"/>
        <v>14801.577869999999</v>
      </c>
      <c r="K785" s="5">
        <f t="shared" si="185"/>
        <v>1264.2276964468738</v>
      </c>
      <c r="L785" s="5">
        <f t="shared" si="182"/>
        <v>0.37271895251272108</v>
      </c>
      <c r="M785" s="5">
        <f t="shared" si="186"/>
        <v>0</v>
      </c>
      <c r="N785" s="5">
        <f t="shared" si="187"/>
        <v>16751.7</v>
      </c>
    </row>
    <row r="786" spans="1:14" s="13" customFormat="1" ht="15.75" x14ac:dyDescent="0.25">
      <c r="A786" s="38">
        <v>13</v>
      </c>
      <c r="B786" s="34" t="s">
        <v>983</v>
      </c>
      <c r="C786" s="18" t="s">
        <v>584</v>
      </c>
      <c r="D786" s="32" t="s">
        <v>1951</v>
      </c>
      <c r="E786" s="5">
        <v>25.338999999999999</v>
      </c>
      <c r="F786" s="5">
        <v>2.3E-2</v>
      </c>
      <c r="G786" s="5">
        <f t="shared" si="183"/>
        <v>25.361999999999998</v>
      </c>
      <c r="H786" s="49">
        <v>27477.369119999996</v>
      </c>
      <c r="I786" s="49"/>
      <c r="J786" s="5">
        <f t="shared" si="184"/>
        <v>27477.369119999996</v>
      </c>
      <c r="K786" s="5">
        <f t="shared" si="185"/>
        <v>1083.4070309912468</v>
      </c>
      <c r="L786" s="5">
        <f t="shared" si="182"/>
        <v>0.31940949788624068</v>
      </c>
      <c r="M786" s="5">
        <f t="shared" si="186"/>
        <v>0</v>
      </c>
      <c r="N786" s="5">
        <f t="shared" si="187"/>
        <v>39956.5</v>
      </c>
    </row>
    <row r="787" spans="1:14" s="13" customFormat="1" ht="15.75" x14ac:dyDescent="0.25">
      <c r="A787" s="38">
        <v>13</v>
      </c>
      <c r="B787" s="34" t="s">
        <v>985</v>
      </c>
      <c r="C787" s="18" t="s">
        <v>585</v>
      </c>
      <c r="D787" s="32" t="s">
        <v>1952</v>
      </c>
      <c r="E787" s="5">
        <v>14.217000000000001</v>
      </c>
      <c r="F787" s="5">
        <v>1.2E-2</v>
      </c>
      <c r="G787" s="5">
        <f t="shared" si="183"/>
        <v>14.229000000000001</v>
      </c>
      <c r="H787" s="49">
        <v>153804.58168800001</v>
      </c>
      <c r="I787" s="49"/>
      <c r="J787" s="5">
        <f t="shared" si="184"/>
        <v>153804.58168800001</v>
      </c>
      <c r="K787" s="5">
        <f t="shared" si="185"/>
        <v>10809.23337465739</v>
      </c>
      <c r="L787" s="5">
        <f t="shared" si="182"/>
        <v>3.186772566516975</v>
      </c>
      <c r="M787" s="5">
        <f t="shared" si="186"/>
        <v>50357.4</v>
      </c>
      <c r="N787" s="5">
        <f t="shared" si="187"/>
        <v>0</v>
      </c>
    </row>
    <row r="788" spans="1:14" s="13" customFormat="1" ht="31.5" x14ac:dyDescent="0.25">
      <c r="A788" s="38">
        <v>13</v>
      </c>
      <c r="B788" s="34" t="s">
        <v>983</v>
      </c>
      <c r="C788" s="18" t="s">
        <v>586</v>
      </c>
      <c r="D788" s="32" t="s">
        <v>1953</v>
      </c>
      <c r="E788" s="5">
        <v>16.055</v>
      </c>
      <c r="F788" s="5">
        <v>1.4999999999999999E-2</v>
      </c>
      <c r="G788" s="5">
        <f t="shared" si="183"/>
        <v>16.07</v>
      </c>
      <c r="H788" s="49">
        <v>38818.144722000005</v>
      </c>
      <c r="I788" s="49"/>
      <c r="J788" s="5">
        <f t="shared" si="184"/>
        <v>38818.144722000005</v>
      </c>
      <c r="K788" s="5">
        <f t="shared" si="185"/>
        <v>2415.5659441194775</v>
      </c>
      <c r="L788" s="5">
        <f t="shared" si="182"/>
        <v>0.7121558964006196</v>
      </c>
      <c r="M788" s="5">
        <f t="shared" si="186"/>
        <v>0</v>
      </c>
      <c r="N788" s="5">
        <f t="shared" si="187"/>
        <v>8191.2</v>
      </c>
    </row>
    <row r="789" spans="1:14" s="13" customFormat="1" ht="31.5" x14ac:dyDescent="0.25">
      <c r="A789" s="38">
        <v>13</v>
      </c>
      <c r="B789" s="34" t="s">
        <v>983</v>
      </c>
      <c r="C789" s="18" t="s">
        <v>697</v>
      </c>
      <c r="D789" s="32" t="s">
        <v>1954</v>
      </c>
      <c r="E789" s="5">
        <v>21.384</v>
      </c>
      <c r="F789" s="5">
        <v>5.5E-2</v>
      </c>
      <c r="G789" s="5">
        <f t="shared" si="183"/>
        <v>21.439</v>
      </c>
      <c r="H789" s="49">
        <v>81215.343642000007</v>
      </c>
      <c r="I789" s="49"/>
      <c r="J789" s="5">
        <f t="shared" si="184"/>
        <v>81215.343642000007</v>
      </c>
      <c r="K789" s="5">
        <f t="shared" ref="K789:K795" si="188">J789/G789</f>
        <v>3788.2057764821125</v>
      </c>
      <c r="L789" s="5">
        <f t="shared" si="182"/>
        <v>1.1168368584878456</v>
      </c>
      <c r="M789" s="5">
        <f t="shared" si="186"/>
        <v>612.20000000000005</v>
      </c>
      <c r="N789" s="5">
        <f t="shared" si="187"/>
        <v>0</v>
      </c>
    </row>
    <row r="790" spans="1:14" s="13" customFormat="1" ht="31.5" x14ac:dyDescent="0.25">
      <c r="A790" s="38">
        <v>13</v>
      </c>
      <c r="B790" s="34" t="s">
        <v>984</v>
      </c>
      <c r="C790" s="18" t="s">
        <v>698</v>
      </c>
      <c r="D790" s="32" t="s">
        <v>3019</v>
      </c>
      <c r="E790" s="5">
        <v>9.6170000000000009</v>
      </c>
      <c r="F790" s="5">
        <v>3.0000000000000001E-3</v>
      </c>
      <c r="G790" s="5">
        <f t="shared" si="183"/>
        <v>9.620000000000001</v>
      </c>
      <c r="H790" s="49">
        <v>25159.321840000001</v>
      </c>
      <c r="I790" s="49"/>
      <c r="J790" s="5">
        <f t="shared" si="184"/>
        <v>25159.321840000001</v>
      </c>
      <c r="K790" s="5">
        <f t="shared" si="188"/>
        <v>2615.3141205821203</v>
      </c>
      <c r="L790" s="5">
        <f t="shared" si="182"/>
        <v>0.77104554998653985</v>
      </c>
      <c r="M790" s="5">
        <f t="shared" si="186"/>
        <v>0</v>
      </c>
      <c r="N790" s="5">
        <f t="shared" si="187"/>
        <v>3366.2</v>
      </c>
    </row>
    <row r="791" spans="1:14" s="13" customFormat="1" ht="15.75" x14ac:dyDescent="0.25">
      <c r="A791" s="38">
        <v>13</v>
      </c>
      <c r="B791" s="34" t="s">
        <v>983</v>
      </c>
      <c r="C791" s="18">
        <v>13536000000</v>
      </c>
      <c r="D791" s="32" t="s">
        <v>1956</v>
      </c>
      <c r="E791" s="5">
        <v>16.693999999999999</v>
      </c>
      <c r="F791" s="5">
        <v>1.9E-2</v>
      </c>
      <c r="G791" s="5">
        <f t="shared" si="183"/>
        <v>16.712999999999997</v>
      </c>
      <c r="H791" s="49">
        <v>26589.804083999996</v>
      </c>
      <c r="I791" s="49"/>
      <c r="J791" s="5">
        <f t="shared" si="184"/>
        <v>26589.804083999996</v>
      </c>
      <c r="K791" s="5">
        <f t="shared" si="188"/>
        <v>1590.9653613354874</v>
      </c>
      <c r="L791" s="5">
        <f t="shared" si="182"/>
        <v>0.46904758108651701</v>
      </c>
      <c r="M791" s="5">
        <f t="shared" si="186"/>
        <v>0</v>
      </c>
      <c r="N791" s="5">
        <f t="shared" si="187"/>
        <v>19544.2</v>
      </c>
    </row>
    <row r="792" spans="1:14" s="13" customFormat="1" ht="31.5" x14ac:dyDescent="0.25">
      <c r="A792" s="38">
        <v>13</v>
      </c>
      <c r="B792" s="34" t="s">
        <v>984</v>
      </c>
      <c r="C792" s="18">
        <v>13537000000</v>
      </c>
      <c r="D792" s="32" t="s">
        <v>1957</v>
      </c>
      <c r="E792" s="5">
        <v>19.658000000000001</v>
      </c>
      <c r="F792" s="5">
        <v>6.4000000000000001E-2</v>
      </c>
      <c r="G792" s="5">
        <f t="shared" si="183"/>
        <v>19.722000000000001</v>
      </c>
      <c r="H792" s="49">
        <v>27839.734980000001</v>
      </c>
      <c r="I792" s="49">
        <f>(534.6)*0.6</f>
        <v>320.76</v>
      </c>
      <c r="J792" s="5">
        <f t="shared" si="184"/>
        <v>28160.494979999999</v>
      </c>
      <c r="K792" s="5">
        <f t="shared" si="188"/>
        <v>1427.8721721934894</v>
      </c>
      <c r="L792" s="5">
        <f t="shared" si="182"/>
        <v>0.42096453181476817</v>
      </c>
      <c r="M792" s="5">
        <f t="shared" si="186"/>
        <v>0</v>
      </c>
      <c r="N792" s="5">
        <f t="shared" si="187"/>
        <v>25636.1</v>
      </c>
    </row>
    <row r="793" spans="1:14" s="13" customFormat="1" ht="31.5" x14ac:dyDescent="0.25">
      <c r="A793" s="38">
        <v>13</v>
      </c>
      <c r="B793" s="34" t="s">
        <v>985</v>
      </c>
      <c r="C793" s="18">
        <v>13538000000</v>
      </c>
      <c r="D793" s="32" t="s">
        <v>1958</v>
      </c>
      <c r="E793" s="5">
        <v>12.198</v>
      </c>
      <c r="F793" s="5">
        <v>1.4E-2</v>
      </c>
      <c r="G793" s="5">
        <f t="shared" si="183"/>
        <v>12.212</v>
      </c>
      <c r="H793" s="49">
        <v>14354.127762</v>
      </c>
      <c r="I793" s="49"/>
      <c r="J793" s="5">
        <f t="shared" si="184"/>
        <v>14354.127762</v>
      </c>
      <c r="K793" s="5">
        <f t="shared" si="188"/>
        <v>1175.4117066819522</v>
      </c>
      <c r="L793" s="5">
        <f t="shared" si="182"/>
        <v>0.34653426856330311</v>
      </c>
      <c r="M793" s="5">
        <f t="shared" si="186"/>
        <v>0</v>
      </c>
      <c r="N793" s="5">
        <f t="shared" si="187"/>
        <v>18340.5</v>
      </c>
    </row>
    <row r="794" spans="1:14" s="13" customFormat="1" ht="31.5" x14ac:dyDescent="0.25">
      <c r="A794" s="38">
        <v>13</v>
      </c>
      <c r="B794" s="34" t="s">
        <v>985</v>
      </c>
      <c r="C794" s="18">
        <v>13539000000</v>
      </c>
      <c r="D794" s="32" t="s">
        <v>1959</v>
      </c>
      <c r="E794" s="5">
        <v>18.693000000000001</v>
      </c>
      <c r="F794" s="5">
        <v>1.0999999999999999E-2</v>
      </c>
      <c r="G794" s="5">
        <f t="shared" si="183"/>
        <v>18.704000000000001</v>
      </c>
      <c r="H794" s="49">
        <v>22713.192768000001</v>
      </c>
      <c r="I794" s="49"/>
      <c r="J794" s="5">
        <f t="shared" si="184"/>
        <v>22713.192768000001</v>
      </c>
      <c r="K794" s="5">
        <f t="shared" si="188"/>
        <v>1214.3494850299401</v>
      </c>
      <c r="L794" s="5">
        <f t="shared" si="182"/>
        <v>0.35801388414190738</v>
      </c>
      <c r="M794" s="5">
        <f t="shared" si="186"/>
        <v>0</v>
      </c>
      <c r="N794" s="5">
        <f t="shared" si="187"/>
        <v>27507.8</v>
      </c>
    </row>
    <row r="795" spans="1:14" s="13" customFormat="1" ht="15.75" x14ac:dyDescent="0.25">
      <c r="A795" s="38">
        <v>13</v>
      </c>
      <c r="B795" s="34" t="s">
        <v>983</v>
      </c>
      <c r="C795" s="18">
        <v>13540000000</v>
      </c>
      <c r="D795" s="32" t="s">
        <v>1960</v>
      </c>
      <c r="E795" s="5">
        <v>33.264000000000003</v>
      </c>
      <c r="F795" s="5">
        <v>3.3000000000000002E-2</v>
      </c>
      <c r="G795" s="5">
        <f t="shared" si="183"/>
        <v>33.297000000000004</v>
      </c>
      <c r="H795" s="49">
        <v>100302.71027399997</v>
      </c>
      <c r="I795" s="49"/>
      <c r="J795" s="5">
        <f t="shared" si="184"/>
        <v>100302.71027399997</v>
      </c>
      <c r="K795" s="5">
        <f t="shared" si="188"/>
        <v>3012.3647858365607</v>
      </c>
      <c r="L795" s="5">
        <f t="shared" si="182"/>
        <v>0.88810382079015926</v>
      </c>
      <c r="M795" s="5">
        <f t="shared" si="186"/>
        <v>0</v>
      </c>
      <c r="N795" s="5">
        <f t="shared" si="187"/>
        <v>1074.8</v>
      </c>
    </row>
    <row r="796" spans="1:14" s="13" customFormat="1" ht="15.75" x14ac:dyDescent="0.25">
      <c r="A796" s="38">
        <v>13</v>
      </c>
      <c r="B796" s="34" t="s">
        <v>983</v>
      </c>
      <c r="C796" s="30" t="s">
        <v>1961</v>
      </c>
      <c r="D796" s="32" t="s">
        <v>1962</v>
      </c>
      <c r="E796" s="5">
        <v>14.664</v>
      </c>
      <c r="F796" s="5">
        <v>1.2999999999999999E-2</v>
      </c>
      <c r="G796" s="5">
        <f>F796+E796</f>
        <v>14.677</v>
      </c>
      <c r="H796" s="49">
        <v>41917.074491999992</v>
      </c>
      <c r="I796" s="49"/>
      <c r="J796" s="5">
        <f t="shared" ref="J796:J842" si="189">H796+I796</f>
        <v>41917.074491999992</v>
      </c>
      <c r="K796" s="5">
        <f t="shared" ref="K796:K843" si="190">J796/G796</f>
        <v>2855.9701909109485</v>
      </c>
      <c r="L796" s="5">
        <f t="shared" si="182"/>
        <v>0.84199564758437229</v>
      </c>
      <c r="M796" s="5">
        <f t="shared" si="186"/>
        <v>0</v>
      </c>
      <c r="N796" s="5">
        <f t="shared" si="187"/>
        <v>2310.1</v>
      </c>
    </row>
    <row r="797" spans="1:14" s="13" customFormat="1" ht="31.5" x14ac:dyDescent="0.25">
      <c r="A797" s="38">
        <v>13</v>
      </c>
      <c r="B797" s="34" t="s">
        <v>985</v>
      </c>
      <c r="C797" s="30" t="s">
        <v>1963</v>
      </c>
      <c r="D797" s="32" t="s">
        <v>1964</v>
      </c>
      <c r="E797" s="5">
        <v>23.370999999999999</v>
      </c>
      <c r="F797" s="5">
        <v>1.2E-2</v>
      </c>
      <c r="G797" s="5">
        <f>F797+E797</f>
        <v>23.382999999999999</v>
      </c>
      <c r="H797" s="49">
        <v>9485.6995619999998</v>
      </c>
      <c r="I797" s="49">
        <f>(1066+14394.371)*0.6</f>
        <v>9276.2225999999991</v>
      </c>
      <c r="J797" s="5">
        <f t="shared" si="189"/>
        <v>18761.922161999999</v>
      </c>
      <c r="K797" s="5">
        <f t="shared" si="190"/>
        <v>802.37446700594444</v>
      </c>
      <c r="L797" s="5">
        <f t="shared" si="182"/>
        <v>0.23655562341018194</v>
      </c>
      <c r="M797" s="5">
        <f t="shared" si="186"/>
        <v>0</v>
      </c>
      <c r="N797" s="5">
        <f t="shared" si="187"/>
        <v>42095.8</v>
      </c>
    </row>
    <row r="798" spans="1:14" s="13" customFormat="1" ht="31.5" x14ac:dyDescent="0.25">
      <c r="A798" s="38">
        <v>13</v>
      </c>
      <c r="B798" s="34" t="s">
        <v>986</v>
      </c>
      <c r="C798" s="30" t="s">
        <v>1965</v>
      </c>
      <c r="D798" s="32" t="s">
        <v>3020</v>
      </c>
      <c r="E798" s="5">
        <v>39.198999999999998</v>
      </c>
      <c r="F798" s="5">
        <v>9.5000000000000001E-2</v>
      </c>
      <c r="G798" s="5">
        <f>F798+E798</f>
        <v>39.293999999999997</v>
      </c>
      <c r="H798" s="49">
        <v>92270.029001999996</v>
      </c>
      <c r="I798" s="49"/>
      <c r="J798" s="5">
        <f t="shared" si="189"/>
        <v>92270.029001999996</v>
      </c>
      <c r="K798" s="5">
        <f t="shared" si="190"/>
        <v>2348.1963913574591</v>
      </c>
      <c r="L798" s="5">
        <f t="shared" si="182"/>
        <v>0.69229403986379345</v>
      </c>
      <c r="M798" s="5">
        <f t="shared" si="186"/>
        <v>0</v>
      </c>
      <c r="N798" s="5">
        <f t="shared" si="187"/>
        <v>22146.7</v>
      </c>
    </row>
    <row r="799" spans="1:14" s="13" customFormat="1" ht="15.75" x14ac:dyDescent="0.25">
      <c r="A799" s="38">
        <v>13</v>
      </c>
      <c r="B799" s="34" t="s">
        <v>983</v>
      </c>
      <c r="C799" s="30" t="s">
        <v>1967</v>
      </c>
      <c r="D799" s="32" t="s">
        <v>2830</v>
      </c>
      <c r="E799" s="5">
        <v>39.470999999999997</v>
      </c>
      <c r="F799" s="5">
        <v>0.14899999999999999</v>
      </c>
      <c r="G799" s="5">
        <f t="shared" si="183"/>
        <v>39.619999999999997</v>
      </c>
      <c r="H799" s="49">
        <v>145049.60602800001</v>
      </c>
      <c r="I799" s="49"/>
      <c r="J799" s="5">
        <f t="shared" si="189"/>
        <v>145049.60602800001</v>
      </c>
      <c r="K799" s="5">
        <f t="shared" si="190"/>
        <v>3661.0198391721356</v>
      </c>
      <c r="L799" s="5">
        <f t="shared" si="182"/>
        <v>1.0793399665420715</v>
      </c>
      <c r="M799" s="5">
        <f t="shared" si="186"/>
        <v>0</v>
      </c>
      <c r="N799" s="5">
        <f t="shared" si="187"/>
        <v>0</v>
      </c>
    </row>
    <row r="800" spans="1:14" s="13" customFormat="1" ht="15.75" x14ac:dyDescent="0.25">
      <c r="A800" s="38">
        <v>13</v>
      </c>
      <c r="B800" s="34" t="s">
        <v>983</v>
      </c>
      <c r="C800" s="30" t="s">
        <v>1968</v>
      </c>
      <c r="D800" s="32" t="s">
        <v>3021</v>
      </c>
      <c r="E800" s="5">
        <v>30.102</v>
      </c>
      <c r="F800" s="5">
        <v>2.8000000000000001E-2</v>
      </c>
      <c r="G800" s="5">
        <f t="shared" ref="G800:G842" si="191">F800+E800</f>
        <v>30.13</v>
      </c>
      <c r="H800" s="49">
        <v>71429.61931200001</v>
      </c>
      <c r="I800" s="49"/>
      <c r="J800" s="5">
        <f t="shared" si="189"/>
        <v>71429.61931200001</v>
      </c>
      <c r="K800" s="5">
        <f t="shared" si="190"/>
        <v>2370.7142154663129</v>
      </c>
      <c r="L800" s="5">
        <f t="shared" si="182"/>
        <v>0.69893273306621717</v>
      </c>
      <c r="M800" s="5">
        <f t="shared" si="186"/>
        <v>0</v>
      </c>
      <c r="N800" s="5">
        <f t="shared" si="187"/>
        <v>16439</v>
      </c>
    </row>
    <row r="801" spans="1:14" s="13" customFormat="1" ht="15.75" x14ac:dyDescent="0.25">
      <c r="A801" s="38">
        <v>13</v>
      </c>
      <c r="B801" s="34" t="s">
        <v>983</v>
      </c>
      <c r="C801" s="30" t="s">
        <v>1970</v>
      </c>
      <c r="D801" s="32" t="s">
        <v>3022</v>
      </c>
      <c r="E801" s="5">
        <v>9.6210000000000004</v>
      </c>
      <c r="F801" s="5">
        <v>1.2999999999999999E-2</v>
      </c>
      <c r="G801" s="5">
        <f t="shared" si="191"/>
        <v>9.6340000000000003</v>
      </c>
      <c r="H801" s="49">
        <v>16032.476256</v>
      </c>
      <c r="I801" s="49"/>
      <c r="J801" s="5">
        <f t="shared" si="189"/>
        <v>16032.476256</v>
      </c>
      <c r="K801" s="5">
        <f t="shared" si="190"/>
        <v>1664.1557251401287</v>
      </c>
      <c r="L801" s="5">
        <f t="shared" ref="L801:L832" si="192">K801/$K$1659</f>
        <v>0.49062552611015481</v>
      </c>
      <c r="M801" s="5">
        <f t="shared" si="186"/>
        <v>0</v>
      </c>
      <c r="N801" s="5">
        <f t="shared" si="187"/>
        <v>10701.9</v>
      </c>
    </row>
    <row r="802" spans="1:14" s="13" customFormat="1" ht="15.75" x14ac:dyDescent="0.25">
      <c r="A802" s="38">
        <v>13</v>
      </c>
      <c r="B802" s="34" t="s">
        <v>983</v>
      </c>
      <c r="C802" s="30" t="s">
        <v>1972</v>
      </c>
      <c r="D802" s="32" t="s">
        <v>2535</v>
      </c>
      <c r="E802" s="5">
        <v>39.691000000000003</v>
      </c>
      <c r="F802" s="5">
        <v>7.8E-2</v>
      </c>
      <c r="G802" s="5">
        <f t="shared" si="191"/>
        <v>39.769000000000005</v>
      </c>
      <c r="H802" s="49">
        <v>117500.929752</v>
      </c>
      <c r="I802" s="49"/>
      <c r="J802" s="5">
        <f t="shared" si="189"/>
        <v>117500.929752</v>
      </c>
      <c r="K802" s="5">
        <f t="shared" si="190"/>
        <v>2954.585977821921</v>
      </c>
      <c r="L802" s="5">
        <f t="shared" si="192"/>
        <v>0.8710695026359413</v>
      </c>
      <c r="M802" s="5">
        <f t="shared" ref="M802:M833" si="193">ROUND(IF(L802&lt;110%,0,(K802-$K$1659*1.1)*0.5)*G802,1)</f>
        <v>0</v>
      </c>
      <c r="N802" s="5">
        <f t="shared" ref="N802:N833" si="194">ROUND(IF(L802&gt;90%,0,(-K802+$K$1659*0.9)*0.8)*G802,1)</f>
        <v>3122</v>
      </c>
    </row>
    <row r="803" spans="1:14" s="13" customFormat="1" ht="31.5" x14ac:dyDescent="0.25">
      <c r="A803" s="38">
        <v>13</v>
      </c>
      <c r="B803" s="34" t="s">
        <v>984</v>
      </c>
      <c r="C803" s="30" t="s">
        <v>1974</v>
      </c>
      <c r="D803" s="32" t="s">
        <v>1975</v>
      </c>
      <c r="E803" s="5">
        <v>12.201000000000001</v>
      </c>
      <c r="F803" s="5">
        <v>6.0000000000000001E-3</v>
      </c>
      <c r="G803" s="5">
        <f t="shared" si="191"/>
        <v>12.207000000000001</v>
      </c>
      <c r="H803" s="49">
        <v>18876.958182000002</v>
      </c>
      <c r="I803" s="49"/>
      <c r="J803" s="5">
        <f t="shared" si="189"/>
        <v>18876.958182000002</v>
      </c>
      <c r="K803" s="5">
        <f t="shared" si="190"/>
        <v>1546.4043730646351</v>
      </c>
      <c r="L803" s="5">
        <f t="shared" si="192"/>
        <v>0.45591013368054523</v>
      </c>
      <c r="M803" s="5">
        <f t="shared" si="193"/>
        <v>0</v>
      </c>
      <c r="N803" s="5">
        <f t="shared" si="194"/>
        <v>14710</v>
      </c>
    </row>
    <row r="804" spans="1:14" s="13" customFormat="1" ht="31.5" x14ac:dyDescent="0.25">
      <c r="A804" s="38">
        <v>13</v>
      </c>
      <c r="B804" s="34" t="s">
        <v>983</v>
      </c>
      <c r="C804" s="30" t="s">
        <v>1976</v>
      </c>
      <c r="D804" s="32" t="s">
        <v>3023</v>
      </c>
      <c r="E804" s="5">
        <v>19.867999999999999</v>
      </c>
      <c r="F804" s="5">
        <v>7.0000000000000001E-3</v>
      </c>
      <c r="G804" s="5">
        <f t="shared" si="191"/>
        <v>19.875</v>
      </c>
      <c r="H804" s="49">
        <v>18285.741504000001</v>
      </c>
      <c r="I804" s="49"/>
      <c r="J804" s="5">
        <f t="shared" si="189"/>
        <v>18285.741504000001</v>
      </c>
      <c r="K804" s="5">
        <f t="shared" si="190"/>
        <v>920.03730837735861</v>
      </c>
      <c r="L804" s="5">
        <f t="shared" si="192"/>
        <v>0.27124492116000931</v>
      </c>
      <c r="M804" s="5">
        <f t="shared" si="193"/>
        <v>0</v>
      </c>
      <c r="N804" s="5">
        <f t="shared" si="194"/>
        <v>33909.599999999999</v>
      </c>
    </row>
    <row r="805" spans="1:14" s="13" customFormat="1" ht="31.5" x14ac:dyDescent="0.25">
      <c r="A805" s="38">
        <v>13</v>
      </c>
      <c r="B805" s="34" t="s">
        <v>985</v>
      </c>
      <c r="C805" s="30" t="s">
        <v>1978</v>
      </c>
      <c r="D805" s="32" t="s">
        <v>3024</v>
      </c>
      <c r="E805" s="5">
        <v>16.154</v>
      </c>
      <c r="F805" s="5">
        <v>2.1000000000000001E-2</v>
      </c>
      <c r="G805" s="5">
        <f t="shared" si="191"/>
        <v>16.175000000000001</v>
      </c>
      <c r="H805" s="49">
        <v>15732.229476</v>
      </c>
      <c r="I805" s="49">
        <f>(-2030.6)*0.6</f>
        <v>-1218.3599999999999</v>
      </c>
      <c r="J805" s="5">
        <f t="shared" si="189"/>
        <v>14513.869476</v>
      </c>
      <c r="K805" s="5">
        <f t="shared" si="190"/>
        <v>897.30259511591953</v>
      </c>
      <c r="L805" s="5">
        <f t="shared" si="192"/>
        <v>0.26454228481032643</v>
      </c>
      <c r="M805" s="5">
        <f t="shared" si="193"/>
        <v>0</v>
      </c>
      <c r="N805" s="5">
        <f t="shared" si="194"/>
        <v>27891</v>
      </c>
    </row>
    <row r="806" spans="1:14" s="13" customFormat="1" ht="31.5" x14ac:dyDescent="0.25">
      <c r="A806" s="38">
        <v>13</v>
      </c>
      <c r="B806" s="34" t="s">
        <v>985</v>
      </c>
      <c r="C806" s="30" t="s">
        <v>1980</v>
      </c>
      <c r="D806" s="32" t="s">
        <v>3025</v>
      </c>
      <c r="E806" s="5">
        <v>11.368</v>
      </c>
      <c r="F806" s="5">
        <v>4.8000000000000001E-2</v>
      </c>
      <c r="G806" s="5">
        <f t="shared" si="191"/>
        <v>11.416</v>
      </c>
      <c r="H806" s="49">
        <v>37226.856882</v>
      </c>
      <c r="I806" s="49"/>
      <c r="J806" s="5">
        <f t="shared" si="189"/>
        <v>37226.856882</v>
      </c>
      <c r="K806" s="5">
        <f t="shared" si="190"/>
        <v>3260.9370078836719</v>
      </c>
      <c r="L806" s="5">
        <f t="shared" si="192"/>
        <v>0.96138775412396127</v>
      </c>
      <c r="M806" s="5">
        <f t="shared" si="193"/>
        <v>0</v>
      </c>
      <c r="N806" s="5">
        <f t="shared" si="194"/>
        <v>0</v>
      </c>
    </row>
    <row r="807" spans="1:14" s="13" customFormat="1" ht="31.5" x14ac:dyDescent="0.25">
      <c r="A807" s="38">
        <v>13</v>
      </c>
      <c r="B807" s="34" t="s">
        <v>986</v>
      </c>
      <c r="C807" s="30" t="s">
        <v>1982</v>
      </c>
      <c r="D807" s="32" t="s">
        <v>3026</v>
      </c>
      <c r="E807" s="5">
        <v>121.77800000000001</v>
      </c>
      <c r="F807" s="5">
        <v>0.36699999999999999</v>
      </c>
      <c r="G807" s="5">
        <f t="shared" si="191"/>
        <v>122.14500000000001</v>
      </c>
      <c r="H807" s="49">
        <v>234861.80424599996</v>
      </c>
      <c r="I807" s="49"/>
      <c r="J807" s="5">
        <f t="shared" si="189"/>
        <v>234861.80424599996</v>
      </c>
      <c r="K807" s="5">
        <f t="shared" si="190"/>
        <v>1922.8114474272377</v>
      </c>
      <c r="L807" s="5">
        <f t="shared" si="192"/>
        <v>0.56688227174483941</v>
      </c>
      <c r="M807" s="5">
        <f t="shared" si="193"/>
        <v>0</v>
      </c>
      <c r="N807" s="5">
        <f t="shared" si="194"/>
        <v>110409.7</v>
      </c>
    </row>
    <row r="808" spans="1:14" s="13" customFormat="1" ht="15.75" x14ac:dyDescent="0.25">
      <c r="A808" s="38">
        <v>13</v>
      </c>
      <c r="B808" s="34" t="s">
        <v>983</v>
      </c>
      <c r="C808" s="30" t="s">
        <v>1984</v>
      </c>
      <c r="D808" s="32" t="s">
        <v>3027</v>
      </c>
      <c r="E808" s="5">
        <v>17.681999999999999</v>
      </c>
      <c r="F808" s="5">
        <v>4.4999999999999998E-2</v>
      </c>
      <c r="G808" s="5">
        <f t="shared" si="191"/>
        <v>17.727</v>
      </c>
      <c r="H808" s="49">
        <v>54149.264585999998</v>
      </c>
      <c r="I808" s="49"/>
      <c r="J808" s="5">
        <f t="shared" si="189"/>
        <v>54149.264585999998</v>
      </c>
      <c r="K808" s="5">
        <f t="shared" si="190"/>
        <v>3054.6208938906752</v>
      </c>
      <c r="L808" s="5">
        <f t="shared" si="192"/>
        <v>0.90056174460835947</v>
      </c>
      <c r="M808" s="5">
        <f t="shared" si="193"/>
        <v>0</v>
      </c>
      <c r="N808" s="5">
        <f t="shared" si="194"/>
        <v>0</v>
      </c>
    </row>
    <row r="809" spans="1:14" s="13" customFormat="1" ht="15.75" x14ac:dyDescent="0.25">
      <c r="A809" s="38">
        <v>13</v>
      </c>
      <c r="B809" s="34" t="s">
        <v>983</v>
      </c>
      <c r="C809" s="30" t="s">
        <v>1986</v>
      </c>
      <c r="D809" s="32" t="s">
        <v>3028</v>
      </c>
      <c r="E809" s="5">
        <v>34.56</v>
      </c>
      <c r="F809" s="5">
        <v>4.3999999999999997E-2</v>
      </c>
      <c r="G809" s="5">
        <f t="shared" si="191"/>
        <v>34.603999999999999</v>
      </c>
      <c r="H809" s="49">
        <v>79275.39608999998</v>
      </c>
      <c r="I809" s="49">
        <f>(2030.6+77.9)*0.6</f>
        <v>1265.0999999999999</v>
      </c>
      <c r="J809" s="5">
        <f t="shared" si="189"/>
        <v>80540.496089999986</v>
      </c>
      <c r="K809" s="5">
        <f t="shared" si="190"/>
        <v>2327.4909285053745</v>
      </c>
      <c r="L809" s="5">
        <f t="shared" si="192"/>
        <v>0.68618966606529996</v>
      </c>
      <c r="M809" s="5">
        <f t="shared" si="193"/>
        <v>0</v>
      </c>
      <c r="N809" s="5">
        <f t="shared" si="194"/>
        <v>20076.5</v>
      </c>
    </row>
    <row r="810" spans="1:14" ht="31.5" x14ac:dyDescent="0.25">
      <c r="A810" s="38">
        <v>13</v>
      </c>
      <c r="B810" s="34" t="s">
        <v>985</v>
      </c>
      <c r="C810" s="30" t="s">
        <v>1988</v>
      </c>
      <c r="D810" s="32" t="s">
        <v>3029</v>
      </c>
      <c r="E810" s="5">
        <v>11.766999999999999</v>
      </c>
      <c r="F810" s="5">
        <v>1.7999999999999999E-2</v>
      </c>
      <c r="G810" s="5">
        <f t="shared" si="191"/>
        <v>11.785</v>
      </c>
      <c r="H810" s="49">
        <v>9974.5527839999995</v>
      </c>
      <c r="I810" s="49"/>
      <c r="J810" s="5">
        <f t="shared" si="189"/>
        <v>9974.5527839999995</v>
      </c>
      <c r="K810" s="5">
        <f t="shared" si="190"/>
        <v>846.37698633856587</v>
      </c>
      <c r="L810" s="5">
        <f t="shared" si="192"/>
        <v>0.24952842329399197</v>
      </c>
      <c r="M810" s="5">
        <f t="shared" si="193"/>
        <v>0</v>
      </c>
      <c r="N810" s="5">
        <f t="shared" si="194"/>
        <v>20801.400000000001</v>
      </c>
    </row>
    <row r="811" spans="1:14" ht="15.75" x14ac:dyDescent="0.25">
      <c r="A811" s="38">
        <v>13</v>
      </c>
      <c r="B811" s="34" t="s">
        <v>983</v>
      </c>
      <c r="C811" s="30" t="s">
        <v>1990</v>
      </c>
      <c r="D811" s="32" t="s">
        <v>3030</v>
      </c>
      <c r="E811" s="5">
        <v>49.243000000000002</v>
      </c>
      <c r="F811" s="5">
        <v>6.3E-2</v>
      </c>
      <c r="G811" s="5">
        <f t="shared" si="191"/>
        <v>49.306000000000004</v>
      </c>
      <c r="H811" s="49">
        <v>136886.51066400003</v>
      </c>
      <c r="I811" s="49"/>
      <c r="J811" s="5">
        <f t="shared" si="189"/>
        <v>136886.51066400003</v>
      </c>
      <c r="K811" s="5">
        <f t="shared" si="190"/>
        <v>2776.2647682634979</v>
      </c>
      <c r="L811" s="5">
        <f t="shared" si="192"/>
        <v>0.81849693629823661</v>
      </c>
      <c r="M811" s="5">
        <f t="shared" si="193"/>
        <v>0</v>
      </c>
      <c r="N811" s="5">
        <f t="shared" si="194"/>
        <v>10904.5</v>
      </c>
    </row>
    <row r="812" spans="1:14" ht="31.5" x14ac:dyDescent="0.25">
      <c r="A812" s="38">
        <v>13</v>
      </c>
      <c r="B812" s="34" t="s">
        <v>985</v>
      </c>
      <c r="C812" s="30" t="s">
        <v>1992</v>
      </c>
      <c r="D812" s="32" t="s">
        <v>1993</v>
      </c>
      <c r="E812" s="5">
        <v>19.814</v>
      </c>
      <c r="F812" s="5">
        <v>1.6E-2</v>
      </c>
      <c r="G812" s="5">
        <f t="shared" si="191"/>
        <v>19.829999999999998</v>
      </c>
      <c r="H812" s="49">
        <v>79057.952382000003</v>
      </c>
      <c r="I812" s="49"/>
      <c r="J812" s="5">
        <f t="shared" si="189"/>
        <v>79057.952382000003</v>
      </c>
      <c r="K812" s="5">
        <f t="shared" si="190"/>
        <v>3986.7852940998491</v>
      </c>
      <c r="L812" s="5">
        <f t="shared" si="192"/>
        <v>1.1753819686804021</v>
      </c>
      <c r="M812" s="5">
        <f t="shared" si="193"/>
        <v>2535.1999999999998</v>
      </c>
      <c r="N812" s="5">
        <f t="shared" si="194"/>
        <v>0</v>
      </c>
    </row>
    <row r="813" spans="1:14" ht="15.75" x14ac:dyDescent="0.25">
      <c r="A813" s="38">
        <v>13</v>
      </c>
      <c r="B813" s="34" t="s">
        <v>984</v>
      </c>
      <c r="C813" s="30" t="s">
        <v>1994</v>
      </c>
      <c r="D813" s="32" t="s">
        <v>1995</v>
      </c>
      <c r="E813" s="5">
        <v>11.471</v>
      </c>
      <c r="F813" s="5">
        <v>6.0000000000000001E-3</v>
      </c>
      <c r="G813" s="5">
        <f t="shared" si="191"/>
        <v>11.477</v>
      </c>
      <c r="H813" s="49">
        <v>13423.672565999999</v>
      </c>
      <c r="I813" s="49">
        <f>(1040.065)*0.6</f>
        <v>624.03899999999999</v>
      </c>
      <c r="J813" s="5">
        <f t="shared" si="189"/>
        <v>14047.711566</v>
      </c>
      <c r="K813" s="5">
        <f t="shared" si="190"/>
        <v>1223.9881123987104</v>
      </c>
      <c r="L813" s="5">
        <f t="shared" si="192"/>
        <v>0.36085553925407216</v>
      </c>
      <c r="M813" s="5">
        <f t="shared" si="193"/>
        <v>0</v>
      </c>
      <c r="N813" s="5">
        <f t="shared" si="194"/>
        <v>16790.599999999999</v>
      </c>
    </row>
    <row r="814" spans="1:14" ht="31.5" x14ac:dyDescent="0.25">
      <c r="A814" s="38">
        <v>13</v>
      </c>
      <c r="B814" s="34" t="s">
        <v>983</v>
      </c>
      <c r="C814" s="30" t="s">
        <v>1996</v>
      </c>
      <c r="D814" s="32" t="s">
        <v>3031</v>
      </c>
      <c r="E814" s="5">
        <v>13.779</v>
      </c>
      <c r="F814" s="5">
        <v>0.01</v>
      </c>
      <c r="G814" s="5">
        <f t="shared" si="191"/>
        <v>13.789</v>
      </c>
      <c r="H814" s="49">
        <v>20939.594825999997</v>
      </c>
      <c r="I814" s="49"/>
      <c r="J814" s="5">
        <f t="shared" si="189"/>
        <v>20939.594825999997</v>
      </c>
      <c r="K814" s="5">
        <f t="shared" si="190"/>
        <v>1518.5724001740516</v>
      </c>
      <c r="L814" s="5">
        <f t="shared" si="192"/>
        <v>0.4477047258957802</v>
      </c>
      <c r="M814" s="5">
        <f t="shared" si="193"/>
        <v>0</v>
      </c>
      <c r="N814" s="5">
        <f t="shared" si="194"/>
        <v>16923.400000000001</v>
      </c>
    </row>
    <row r="815" spans="1:14" ht="31.5" x14ac:dyDescent="0.25">
      <c r="A815" s="38">
        <v>13</v>
      </c>
      <c r="B815" s="34" t="s">
        <v>985</v>
      </c>
      <c r="C815" s="30" t="s">
        <v>1998</v>
      </c>
      <c r="D815" s="32" t="s">
        <v>3032</v>
      </c>
      <c r="E815" s="5">
        <v>16.951000000000001</v>
      </c>
      <c r="F815" s="5">
        <v>0.01</v>
      </c>
      <c r="G815" s="5">
        <f t="shared" si="191"/>
        <v>16.961000000000002</v>
      </c>
      <c r="H815" s="49">
        <v>26476.940232000001</v>
      </c>
      <c r="I815" s="49"/>
      <c r="J815" s="5">
        <f t="shared" si="189"/>
        <v>26476.940232000001</v>
      </c>
      <c r="K815" s="5">
        <f t="shared" si="190"/>
        <v>1561.0483009256529</v>
      </c>
      <c r="L815" s="5">
        <f t="shared" si="192"/>
        <v>0.46022744888283856</v>
      </c>
      <c r="M815" s="5">
        <f t="shared" si="193"/>
        <v>0</v>
      </c>
      <c r="N815" s="5">
        <f t="shared" si="194"/>
        <v>20240.099999999999</v>
      </c>
    </row>
    <row r="816" spans="1:14" ht="31.5" x14ac:dyDescent="0.25">
      <c r="A816" s="38">
        <v>13</v>
      </c>
      <c r="B816" s="34" t="s">
        <v>985</v>
      </c>
      <c r="C816" s="30" t="s">
        <v>2000</v>
      </c>
      <c r="D816" s="32" t="s">
        <v>2837</v>
      </c>
      <c r="E816" s="5">
        <v>11.654</v>
      </c>
      <c r="F816" s="5">
        <v>6.0000000000000001E-3</v>
      </c>
      <c r="G816" s="5">
        <f t="shared" si="191"/>
        <v>11.66</v>
      </c>
      <c r="H816" s="49">
        <v>18007.890197999997</v>
      </c>
      <c r="I816" s="49"/>
      <c r="J816" s="5">
        <f t="shared" si="189"/>
        <v>18007.890197999997</v>
      </c>
      <c r="K816" s="5">
        <f t="shared" si="190"/>
        <v>1544.4159689536875</v>
      </c>
      <c r="L816" s="5">
        <f t="shared" si="192"/>
        <v>0.45532391341382639</v>
      </c>
      <c r="M816" s="5">
        <f t="shared" si="193"/>
        <v>0</v>
      </c>
      <c r="N816" s="5">
        <f t="shared" si="194"/>
        <v>14069.4</v>
      </c>
    </row>
    <row r="817" spans="1:14" ht="15.75" x14ac:dyDescent="0.25">
      <c r="A817" s="38">
        <v>13</v>
      </c>
      <c r="B817" s="34" t="s">
        <v>986</v>
      </c>
      <c r="C817" s="30" t="s">
        <v>2002</v>
      </c>
      <c r="D817" s="32" t="s">
        <v>2003</v>
      </c>
      <c r="E817" s="5">
        <v>780.80399999999997</v>
      </c>
      <c r="F817" s="5">
        <v>7.1159999999999997</v>
      </c>
      <c r="G817" s="5">
        <f t="shared" si="191"/>
        <v>787.92</v>
      </c>
      <c r="H817" s="49">
        <v>4451106.4027199997</v>
      </c>
      <c r="I817" s="49">
        <f>(2359.33+3454.1+590.3+117.45739+36664.242+14987.012+330.8+116.1+106.2+213.9+157.4+9.59+3.3+2.2+2.8+29335.095+674+65.292+55.38+10.942+9.71+1744.2+19163.99+36.9+756.8+86.2+106.8+136.2+161.9+44.5+253.9+53.7+2+1.6+11.1+1.3+13.4+10.8+7.6+7.8+8.3+2+35.8+12.1+9+367.1505)*0.6</f>
        <v>67380.114534000008</v>
      </c>
      <c r="J817" s="5">
        <f t="shared" si="189"/>
        <v>4518486.5172539996</v>
      </c>
      <c r="K817" s="5">
        <f t="shared" si="190"/>
        <v>5734.7021490176667</v>
      </c>
      <c r="L817" s="5">
        <f t="shared" si="192"/>
        <v>1.6907019075452883</v>
      </c>
      <c r="M817" s="5">
        <f t="shared" si="193"/>
        <v>789340.4</v>
      </c>
      <c r="N817" s="5">
        <f t="shared" si="194"/>
        <v>0</v>
      </c>
    </row>
    <row r="818" spans="1:14" ht="31.5" x14ac:dyDescent="0.25">
      <c r="A818" s="38">
        <v>13</v>
      </c>
      <c r="B818" s="34" t="s">
        <v>983</v>
      </c>
      <c r="C818" s="30" t="s">
        <v>2004</v>
      </c>
      <c r="D818" s="32" t="s">
        <v>2092</v>
      </c>
      <c r="E818" s="5">
        <v>33.307000000000002</v>
      </c>
      <c r="F818" s="5">
        <v>8.9999999999999993E-3</v>
      </c>
      <c r="G818" s="5">
        <f t="shared" si="191"/>
        <v>33.316000000000003</v>
      </c>
      <c r="H818" s="49">
        <v>65441.988659999981</v>
      </c>
      <c r="I818" s="49"/>
      <c r="J818" s="5">
        <f t="shared" si="189"/>
        <v>65441.988659999981</v>
      </c>
      <c r="K818" s="5">
        <f t="shared" si="190"/>
        <v>1964.2810859647009</v>
      </c>
      <c r="L818" s="5">
        <f t="shared" si="192"/>
        <v>0.57910832902882803</v>
      </c>
      <c r="M818" s="5">
        <f t="shared" si="193"/>
        <v>0</v>
      </c>
      <c r="N818" s="5">
        <f t="shared" si="194"/>
        <v>29009.8</v>
      </c>
    </row>
    <row r="819" spans="1:14" ht="15.75" x14ac:dyDescent="0.25">
      <c r="A819" s="38">
        <v>13</v>
      </c>
      <c r="B819" s="34" t="s">
        <v>986</v>
      </c>
      <c r="C819" s="30" t="s">
        <v>2005</v>
      </c>
      <c r="D819" s="32" t="s">
        <v>2006</v>
      </c>
      <c r="E819" s="5">
        <v>14.388</v>
      </c>
      <c r="F819" s="5">
        <v>6.4000000000000001E-2</v>
      </c>
      <c r="G819" s="5">
        <f t="shared" si="191"/>
        <v>14.452</v>
      </c>
      <c r="H819" s="49">
        <v>36916.642968</v>
      </c>
      <c r="I819" s="49"/>
      <c r="J819" s="5">
        <f t="shared" si="189"/>
        <v>36916.642968</v>
      </c>
      <c r="K819" s="5">
        <f t="shared" si="190"/>
        <v>2554.4314259618045</v>
      </c>
      <c r="L819" s="5">
        <f t="shared" si="192"/>
        <v>0.75309614559616589</v>
      </c>
      <c r="M819" s="5">
        <f t="shared" si="193"/>
        <v>0</v>
      </c>
      <c r="N819" s="5">
        <f t="shared" si="194"/>
        <v>5761</v>
      </c>
    </row>
    <row r="820" spans="1:14" ht="31.5" x14ac:dyDescent="0.25">
      <c r="A820" s="38">
        <v>13</v>
      </c>
      <c r="B820" s="34" t="s">
        <v>986</v>
      </c>
      <c r="C820" s="30" t="s">
        <v>2007</v>
      </c>
      <c r="D820" s="32" t="s">
        <v>2008</v>
      </c>
      <c r="E820" s="5">
        <v>36.945</v>
      </c>
      <c r="F820" s="5">
        <v>6.8000000000000005E-2</v>
      </c>
      <c r="G820" s="5">
        <f t="shared" si="191"/>
        <v>37.012999999999998</v>
      </c>
      <c r="H820" s="49">
        <v>73220.669951999997</v>
      </c>
      <c r="I820" s="49"/>
      <c r="J820" s="5">
        <f t="shared" si="189"/>
        <v>73220.669951999997</v>
      </c>
      <c r="K820" s="5">
        <f t="shared" si="190"/>
        <v>1978.2419677410639</v>
      </c>
      <c r="L820" s="5">
        <f t="shared" si="192"/>
        <v>0.58322426893938728</v>
      </c>
      <c r="M820" s="5">
        <f t="shared" si="193"/>
        <v>0</v>
      </c>
      <c r="N820" s="5">
        <f t="shared" si="194"/>
        <v>31815.599999999999</v>
      </c>
    </row>
    <row r="821" spans="1:14" ht="31.5" x14ac:dyDescent="0.25">
      <c r="A821" s="38">
        <v>13</v>
      </c>
      <c r="B821" s="34" t="s">
        <v>983</v>
      </c>
      <c r="C821" s="30" t="s">
        <v>2009</v>
      </c>
      <c r="D821" s="32" t="s">
        <v>2010</v>
      </c>
      <c r="E821" s="5">
        <v>51.564</v>
      </c>
      <c r="F821" s="5">
        <v>7.6999999999999999E-2</v>
      </c>
      <c r="G821" s="5">
        <f t="shared" si="191"/>
        <v>51.640999999999998</v>
      </c>
      <c r="H821" s="49">
        <v>116366.41739399999</v>
      </c>
      <c r="I821" s="49">
        <f>(65739.288-534.6-330.8)*0.6</f>
        <v>38924.332799999996</v>
      </c>
      <c r="J821" s="5">
        <f t="shared" si="189"/>
        <v>155290.75019399999</v>
      </c>
      <c r="K821" s="5">
        <f t="shared" si="190"/>
        <v>3007.1212833601207</v>
      </c>
      <c r="L821" s="5">
        <f t="shared" si="192"/>
        <v>0.8865579341148323</v>
      </c>
      <c r="M821" s="5">
        <f t="shared" si="193"/>
        <v>0</v>
      </c>
      <c r="N821" s="5">
        <f t="shared" si="194"/>
        <v>1883.6</v>
      </c>
    </row>
    <row r="822" spans="1:14" ht="31.5" x14ac:dyDescent="0.25">
      <c r="A822" s="38">
        <v>13</v>
      </c>
      <c r="B822" s="34" t="s">
        <v>985</v>
      </c>
      <c r="C822" s="30" t="s">
        <v>2011</v>
      </c>
      <c r="D822" s="32" t="s">
        <v>2012</v>
      </c>
      <c r="E822" s="5">
        <v>18.542000000000002</v>
      </c>
      <c r="F822" s="5">
        <v>0.01</v>
      </c>
      <c r="G822" s="5">
        <f t="shared" si="191"/>
        <v>18.552000000000003</v>
      </c>
      <c r="H822" s="49">
        <v>34104.302111999998</v>
      </c>
      <c r="I822" s="49"/>
      <c r="J822" s="5">
        <f t="shared" si="189"/>
        <v>34104.302111999998</v>
      </c>
      <c r="K822" s="5">
        <f t="shared" si="190"/>
        <v>1838.3086520051743</v>
      </c>
      <c r="L822" s="5">
        <f t="shared" si="192"/>
        <v>0.54196920151023886</v>
      </c>
      <c r="M822" s="5">
        <f t="shared" si="193"/>
        <v>0</v>
      </c>
      <c r="N822" s="5">
        <f t="shared" si="194"/>
        <v>18023.7</v>
      </c>
    </row>
    <row r="823" spans="1:14" ht="31.5" x14ac:dyDescent="0.25">
      <c r="A823" s="38">
        <v>13</v>
      </c>
      <c r="B823" s="34" t="s">
        <v>984</v>
      </c>
      <c r="C823" s="30" t="s">
        <v>2013</v>
      </c>
      <c r="D823" s="32" t="s">
        <v>3033</v>
      </c>
      <c r="E823" s="5">
        <v>7.6609999999999996</v>
      </c>
      <c r="F823" s="5">
        <v>1.0999999999999999E-2</v>
      </c>
      <c r="G823" s="5">
        <f t="shared" si="191"/>
        <v>7.6719999999999997</v>
      </c>
      <c r="H823" s="49">
        <v>30863.34909</v>
      </c>
      <c r="I823" s="49"/>
      <c r="J823" s="5">
        <f t="shared" si="189"/>
        <v>30863.34909</v>
      </c>
      <c r="K823" s="5">
        <f t="shared" si="190"/>
        <v>4022.8557208029197</v>
      </c>
      <c r="L823" s="5">
        <f t="shared" si="192"/>
        <v>1.1860162331370663</v>
      </c>
      <c r="M823" s="5">
        <f t="shared" si="193"/>
        <v>1119.2</v>
      </c>
      <c r="N823" s="5">
        <f t="shared" si="194"/>
        <v>0</v>
      </c>
    </row>
    <row r="824" spans="1:14" ht="31.5" x14ac:dyDescent="0.25">
      <c r="A824" s="38">
        <v>13</v>
      </c>
      <c r="B824" s="34" t="s">
        <v>983</v>
      </c>
      <c r="C824" s="30" t="s">
        <v>2015</v>
      </c>
      <c r="D824" s="32" t="s">
        <v>2016</v>
      </c>
      <c r="E824" s="5">
        <v>23.786999999999999</v>
      </c>
      <c r="F824" s="5">
        <v>1.9E-2</v>
      </c>
      <c r="G824" s="5">
        <f t="shared" si="191"/>
        <v>23.805999999999997</v>
      </c>
      <c r="H824" s="49">
        <v>62305.528026000015</v>
      </c>
      <c r="I824" s="49"/>
      <c r="J824" s="5">
        <f t="shared" si="189"/>
        <v>62305.528026000015</v>
      </c>
      <c r="K824" s="5">
        <f t="shared" si="190"/>
        <v>2617.2195255817869</v>
      </c>
      <c r="L824" s="5">
        <f t="shared" si="192"/>
        <v>0.77160730049840121</v>
      </c>
      <c r="M824" s="5">
        <f t="shared" si="193"/>
        <v>0</v>
      </c>
      <c r="N824" s="5">
        <f t="shared" si="194"/>
        <v>8293.9</v>
      </c>
    </row>
    <row r="825" spans="1:14" ht="31.5" x14ac:dyDescent="0.25">
      <c r="A825" s="38">
        <v>13</v>
      </c>
      <c r="B825" s="34" t="s">
        <v>985</v>
      </c>
      <c r="C825" s="30" t="s">
        <v>2017</v>
      </c>
      <c r="D825" s="32" t="s">
        <v>2018</v>
      </c>
      <c r="E825" s="5">
        <v>11.186</v>
      </c>
      <c r="F825" s="5">
        <v>4.0000000000000001E-3</v>
      </c>
      <c r="G825" s="5">
        <f t="shared" si="191"/>
        <v>11.19</v>
      </c>
      <c r="H825" s="49">
        <v>12264.268061999999</v>
      </c>
      <c r="I825" s="49"/>
      <c r="J825" s="5">
        <f t="shared" si="189"/>
        <v>12264.268061999999</v>
      </c>
      <c r="K825" s="5">
        <f t="shared" si="190"/>
        <v>1096.0025077747989</v>
      </c>
      <c r="L825" s="5">
        <f t="shared" si="192"/>
        <v>0.32312288980634968</v>
      </c>
      <c r="M825" s="5">
        <f t="shared" si="193"/>
        <v>0</v>
      </c>
      <c r="N825" s="5">
        <f t="shared" si="194"/>
        <v>17516.5</v>
      </c>
    </row>
    <row r="826" spans="1:14" ht="31.5" x14ac:dyDescent="0.25">
      <c r="A826" s="38">
        <v>13</v>
      </c>
      <c r="B826" s="34" t="s">
        <v>985</v>
      </c>
      <c r="C826" s="30" t="s">
        <v>2019</v>
      </c>
      <c r="D826" s="32" t="s">
        <v>3034</v>
      </c>
      <c r="E826" s="5">
        <v>7.4690000000000003</v>
      </c>
      <c r="F826" s="5">
        <v>7.0000000000000001E-3</v>
      </c>
      <c r="G826" s="5">
        <f t="shared" si="191"/>
        <v>7.476</v>
      </c>
      <c r="H826" s="49">
        <v>7789.3909079999994</v>
      </c>
      <c r="I826" s="49"/>
      <c r="J826" s="5">
        <f t="shared" si="189"/>
        <v>7789.3909079999994</v>
      </c>
      <c r="K826" s="5">
        <f t="shared" si="190"/>
        <v>1041.9195971107542</v>
      </c>
      <c r="L826" s="5">
        <f t="shared" si="192"/>
        <v>0.30717819418846748</v>
      </c>
      <c r="M826" s="5">
        <f t="shared" si="193"/>
        <v>0</v>
      </c>
      <c r="N826" s="5">
        <f t="shared" si="194"/>
        <v>12026.2</v>
      </c>
    </row>
    <row r="827" spans="1:14" ht="31.5" x14ac:dyDescent="0.25">
      <c r="A827" s="38">
        <v>13</v>
      </c>
      <c r="B827" s="34" t="s">
        <v>983</v>
      </c>
      <c r="C827" s="30" t="s">
        <v>2021</v>
      </c>
      <c r="D827" s="32" t="s">
        <v>2022</v>
      </c>
      <c r="E827" s="5">
        <v>15.204000000000001</v>
      </c>
      <c r="F827" s="5">
        <v>4.7E-2</v>
      </c>
      <c r="G827" s="5">
        <f t="shared" si="191"/>
        <v>15.251000000000001</v>
      </c>
      <c r="H827" s="49">
        <v>71010.262728000002</v>
      </c>
      <c r="I827" s="49"/>
      <c r="J827" s="5">
        <f t="shared" si="189"/>
        <v>71010.262728000002</v>
      </c>
      <c r="K827" s="5">
        <f t="shared" si="190"/>
        <v>4656.1053523047667</v>
      </c>
      <c r="L827" s="5">
        <f t="shared" si="192"/>
        <v>1.3727105604293599</v>
      </c>
      <c r="M827" s="5">
        <f t="shared" si="193"/>
        <v>7053.7</v>
      </c>
      <c r="N827" s="5">
        <f t="shared" si="194"/>
        <v>0</v>
      </c>
    </row>
    <row r="828" spans="1:14" ht="15.75" x14ac:dyDescent="0.25">
      <c r="A828" s="38">
        <v>13</v>
      </c>
      <c r="B828" s="34" t="s">
        <v>983</v>
      </c>
      <c r="C828" s="30" t="s">
        <v>2023</v>
      </c>
      <c r="D828" s="32" t="s">
        <v>3035</v>
      </c>
      <c r="E828" s="5">
        <v>25.693999999999999</v>
      </c>
      <c r="F828" s="5">
        <v>1.7999999999999999E-2</v>
      </c>
      <c r="G828" s="5">
        <f t="shared" si="191"/>
        <v>25.712</v>
      </c>
      <c r="H828" s="49">
        <v>40076.629889999997</v>
      </c>
      <c r="I828" s="49"/>
      <c r="J828" s="5">
        <f t="shared" si="189"/>
        <v>40076.629889999997</v>
      </c>
      <c r="K828" s="5">
        <f t="shared" si="190"/>
        <v>1558.6741556471686</v>
      </c>
      <c r="L828" s="5">
        <f t="shared" si="192"/>
        <v>0.45952750460555636</v>
      </c>
      <c r="M828" s="5">
        <f t="shared" si="193"/>
        <v>0</v>
      </c>
      <c r="N828" s="5">
        <f t="shared" si="194"/>
        <v>30731.8</v>
      </c>
    </row>
    <row r="829" spans="1:14" ht="15.75" x14ac:dyDescent="0.25">
      <c r="A829" s="38">
        <v>13</v>
      </c>
      <c r="B829" s="34" t="s">
        <v>984</v>
      </c>
      <c r="C829" s="30" t="s">
        <v>2025</v>
      </c>
      <c r="D829" s="32" t="s">
        <v>2026</v>
      </c>
      <c r="E829" s="5">
        <v>13.061</v>
      </c>
      <c r="F829" s="5">
        <v>1.2E-2</v>
      </c>
      <c r="G829" s="5">
        <f t="shared" si="191"/>
        <v>13.073</v>
      </c>
      <c r="H829" s="49">
        <v>12516.663047999999</v>
      </c>
      <c r="I829" s="49"/>
      <c r="J829" s="5">
        <f t="shared" si="189"/>
        <v>12516.663047999999</v>
      </c>
      <c r="K829" s="5">
        <f t="shared" si="190"/>
        <v>957.44381916928</v>
      </c>
      <c r="L829" s="5">
        <f t="shared" si="192"/>
        <v>0.28227308923345462</v>
      </c>
      <c r="M829" s="5">
        <f t="shared" si="193"/>
        <v>0</v>
      </c>
      <c r="N829" s="5">
        <f t="shared" si="194"/>
        <v>21913.200000000001</v>
      </c>
    </row>
    <row r="830" spans="1:14" ht="15.75" x14ac:dyDescent="0.25">
      <c r="A830" s="38">
        <v>13</v>
      </c>
      <c r="B830" s="34" t="s">
        <v>986</v>
      </c>
      <c r="C830" s="30" t="s">
        <v>2027</v>
      </c>
      <c r="D830" s="32" t="s">
        <v>2028</v>
      </c>
      <c r="E830" s="5">
        <v>36.978999999999999</v>
      </c>
      <c r="F830" s="5">
        <v>5.5E-2</v>
      </c>
      <c r="G830" s="5">
        <f t="shared" si="191"/>
        <v>37.033999999999999</v>
      </c>
      <c r="H830" s="49">
        <v>116405.81763599999</v>
      </c>
      <c r="I830" s="49"/>
      <c r="J830" s="5">
        <f t="shared" si="189"/>
        <v>116405.81763599999</v>
      </c>
      <c r="K830" s="5">
        <f t="shared" si="190"/>
        <v>3143.2148197872225</v>
      </c>
      <c r="L830" s="5">
        <f t="shared" si="192"/>
        <v>0.92668095980349852</v>
      </c>
      <c r="M830" s="5">
        <f t="shared" si="193"/>
        <v>0</v>
      </c>
      <c r="N830" s="5">
        <f t="shared" si="194"/>
        <v>0</v>
      </c>
    </row>
    <row r="831" spans="1:14" ht="15.75" x14ac:dyDescent="0.25">
      <c r="A831" s="38">
        <v>13</v>
      </c>
      <c r="B831" s="34" t="s">
        <v>983</v>
      </c>
      <c r="C831" s="30" t="s">
        <v>2029</v>
      </c>
      <c r="D831" s="32" t="s">
        <v>2030</v>
      </c>
      <c r="E831" s="5">
        <v>20.262</v>
      </c>
      <c r="F831" s="5">
        <v>0.01</v>
      </c>
      <c r="G831" s="5">
        <f t="shared" si="191"/>
        <v>20.272000000000002</v>
      </c>
      <c r="H831" s="49">
        <v>42986.183747999996</v>
      </c>
      <c r="I831" s="49"/>
      <c r="J831" s="5">
        <f t="shared" si="189"/>
        <v>42986.183747999996</v>
      </c>
      <c r="K831" s="5">
        <f t="shared" si="190"/>
        <v>2120.4707847277027</v>
      </c>
      <c r="L831" s="5">
        <f t="shared" si="192"/>
        <v>0.62515609485442813</v>
      </c>
      <c r="M831" s="5">
        <f t="shared" si="193"/>
        <v>0</v>
      </c>
      <c r="N831" s="5">
        <f t="shared" si="194"/>
        <v>15118.8</v>
      </c>
    </row>
    <row r="832" spans="1:14" ht="15.75" x14ac:dyDescent="0.25">
      <c r="A832" s="38">
        <v>13</v>
      </c>
      <c r="B832" s="34" t="s">
        <v>983</v>
      </c>
      <c r="C832" s="30" t="s">
        <v>2031</v>
      </c>
      <c r="D832" s="32" t="s">
        <v>2032</v>
      </c>
      <c r="E832" s="5">
        <v>52.081000000000003</v>
      </c>
      <c r="F832" s="5">
        <v>5.6000000000000001E-2</v>
      </c>
      <c r="G832" s="5">
        <f t="shared" si="191"/>
        <v>52.137</v>
      </c>
      <c r="H832" s="49">
        <v>126354.12649800001</v>
      </c>
      <c r="I832" s="49"/>
      <c r="J832" s="5">
        <f t="shared" si="189"/>
        <v>126354.12649800001</v>
      </c>
      <c r="K832" s="5">
        <f t="shared" si="190"/>
        <v>2423.5020522469649</v>
      </c>
      <c r="L832" s="5">
        <f t="shared" si="192"/>
        <v>0.71449561567478048</v>
      </c>
      <c r="M832" s="5">
        <f t="shared" si="193"/>
        <v>0</v>
      </c>
      <c r="N832" s="5">
        <f t="shared" si="194"/>
        <v>26244.2</v>
      </c>
    </row>
    <row r="833" spans="1:14" s="13" customFormat="1" ht="31.5" x14ac:dyDescent="0.25">
      <c r="A833" s="38">
        <v>13</v>
      </c>
      <c r="B833" s="34" t="s">
        <v>984</v>
      </c>
      <c r="C833" s="30" t="s">
        <v>2033</v>
      </c>
      <c r="D833" s="32" t="s">
        <v>3036</v>
      </c>
      <c r="E833" s="5">
        <v>8.4480000000000004</v>
      </c>
      <c r="F833" s="5">
        <v>2.3E-2</v>
      </c>
      <c r="G833" s="5">
        <f t="shared" si="191"/>
        <v>8.4710000000000001</v>
      </c>
      <c r="H833" s="49">
        <v>64400.997119999993</v>
      </c>
      <c r="I833" s="49"/>
      <c r="J833" s="5">
        <f t="shared" si="189"/>
        <v>64400.997119999993</v>
      </c>
      <c r="K833" s="5">
        <f t="shared" si="190"/>
        <v>7602.5259261008132</v>
      </c>
      <c r="L833" s="5">
        <f t="shared" ref="L833:L843" si="195">K833/$K$1659</f>
        <v>2.2413727428935308</v>
      </c>
      <c r="M833" s="5">
        <f t="shared" si="193"/>
        <v>16397.400000000001</v>
      </c>
      <c r="N833" s="5">
        <f t="shared" si="194"/>
        <v>0</v>
      </c>
    </row>
    <row r="834" spans="1:14" s="13" customFormat="1" ht="31.5" x14ac:dyDescent="0.25">
      <c r="A834" s="38">
        <v>13</v>
      </c>
      <c r="B834" s="34" t="s">
        <v>983</v>
      </c>
      <c r="C834" s="30" t="s">
        <v>2035</v>
      </c>
      <c r="D834" s="32" t="s">
        <v>2036</v>
      </c>
      <c r="E834" s="5">
        <v>21.172999999999998</v>
      </c>
      <c r="F834" s="5">
        <v>2.1000000000000001E-2</v>
      </c>
      <c r="G834" s="5">
        <f t="shared" si="191"/>
        <v>21.193999999999999</v>
      </c>
      <c r="H834" s="49">
        <v>49363.841712000016</v>
      </c>
      <c r="I834" s="49">
        <f>(-14987.012)*0.6</f>
        <v>-8992.2072000000007</v>
      </c>
      <c r="J834" s="5">
        <f t="shared" si="189"/>
        <v>40371.634512000019</v>
      </c>
      <c r="K834" s="5">
        <f t="shared" si="190"/>
        <v>1904.8614943852044</v>
      </c>
      <c r="L834" s="5">
        <f t="shared" si="195"/>
        <v>0.56159027591664934</v>
      </c>
      <c r="M834" s="5">
        <f t="shared" ref="M834:M842" si="196">ROUND(IF(L834&lt;110%,0,(K834-$K$1659*1.1)*0.5)*G834,1)</f>
        <v>0</v>
      </c>
      <c r="N834" s="5">
        <f t="shared" ref="N834:N842" si="197">ROUND(IF(L834&gt;90%,0,(-K834+$K$1659*0.9)*0.8)*G834,1)</f>
        <v>19462.099999999999</v>
      </c>
    </row>
    <row r="835" spans="1:14" s="13" customFormat="1" ht="15.75" x14ac:dyDescent="0.25">
      <c r="A835" s="38">
        <v>13</v>
      </c>
      <c r="B835" s="34" t="s">
        <v>986</v>
      </c>
      <c r="C835" s="30" t="s">
        <v>2037</v>
      </c>
      <c r="D835" s="32" t="s">
        <v>2038</v>
      </c>
      <c r="E835" s="5">
        <v>99.05</v>
      </c>
      <c r="F835" s="5">
        <v>0.23899999999999999</v>
      </c>
      <c r="G835" s="5">
        <f t="shared" si="191"/>
        <v>99.289000000000001</v>
      </c>
      <c r="H835" s="49">
        <v>374208.89132399997</v>
      </c>
      <c r="I835" s="49"/>
      <c r="J835" s="5">
        <f t="shared" si="189"/>
        <v>374208.89132399997</v>
      </c>
      <c r="K835" s="5">
        <f t="shared" si="190"/>
        <v>3768.8856904994509</v>
      </c>
      <c r="L835" s="5">
        <f t="shared" si="195"/>
        <v>1.1111409207780867</v>
      </c>
      <c r="M835" s="5">
        <f t="shared" si="196"/>
        <v>1876</v>
      </c>
      <c r="N835" s="5">
        <f t="shared" si="197"/>
        <v>0</v>
      </c>
    </row>
    <row r="836" spans="1:14" s="13" customFormat="1" ht="31.5" x14ac:dyDescent="0.25">
      <c r="A836" s="38">
        <v>13</v>
      </c>
      <c r="B836" s="34" t="s">
        <v>984</v>
      </c>
      <c r="C836" s="30" t="s">
        <v>2039</v>
      </c>
      <c r="D836" s="32" t="s">
        <v>2040</v>
      </c>
      <c r="E836" s="5">
        <v>14.349</v>
      </c>
      <c r="F836" s="5">
        <v>1.7000000000000001E-2</v>
      </c>
      <c r="G836" s="5">
        <f t="shared" si="191"/>
        <v>14.366</v>
      </c>
      <c r="H836" s="49">
        <v>8617.5889859999988</v>
      </c>
      <c r="I836" s="49"/>
      <c r="J836" s="5">
        <f t="shared" si="189"/>
        <v>8617.5889859999988</v>
      </c>
      <c r="K836" s="5">
        <f t="shared" si="190"/>
        <v>599.86001573158842</v>
      </c>
      <c r="L836" s="5">
        <f t="shared" si="195"/>
        <v>0.1768504181217623</v>
      </c>
      <c r="M836" s="5">
        <f t="shared" si="196"/>
        <v>0</v>
      </c>
      <c r="N836" s="5">
        <f t="shared" si="197"/>
        <v>28190.2</v>
      </c>
    </row>
    <row r="837" spans="1:14" s="13" customFormat="1" ht="31.5" x14ac:dyDescent="0.25">
      <c r="A837" s="38">
        <v>13</v>
      </c>
      <c r="B837" s="34" t="s">
        <v>985</v>
      </c>
      <c r="C837" s="30" t="s">
        <v>2041</v>
      </c>
      <c r="D837" s="32" t="s">
        <v>3037</v>
      </c>
      <c r="E837" s="5">
        <v>16.36</v>
      </c>
      <c r="F837" s="5">
        <v>0.03</v>
      </c>
      <c r="G837" s="5">
        <f t="shared" si="191"/>
        <v>16.39</v>
      </c>
      <c r="H837" s="49">
        <v>15315.093432</v>
      </c>
      <c r="I837" s="49">
        <f>(836.665)*0.6</f>
        <v>501.99899999999997</v>
      </c>
      <c r="J837" s="5">
        <f t="shared" si="189"/>
        <v>15817.092431999999</v>
      </c>
      <c r="K837" s="5">
        <f t="shared" si="190"/>
        <v>965.04529786455146</v>
      </c>
      <c r="L837" s="5">
        <f t="shared" si="195"/>
        <v>0.28451415323229923</v>
      </c>
      <c r="M837" s="5">
        <f t="shared" si="196"/>
        <v>0</v>
      </c>
      <c r="N837" s="5">
        <f t="shared" si="197"/>
        <v>27373.5</v>
      </c>
    </row>
    <row r="838" spans="1:14" s="13" customFormat="1" ht="31.5" x14ac:dyDescent="0.25">
      <c r="A838" s="38">
        <v>13</v>
      </c>
      <c r="B838" s="34" t="s">
        <v>986</v>
      </c>
      <c r="C838" s="30" t="s">
        <v>2043</v>
      </c>
      <c r="D838" s="32" t="s">
        <v>3038</v>
      </c>
      <c r="E838" s="5">
        <v>39.375</v>
      </c>
      <c r="F838" s="5">
        <v>0.17199999999999999</v>
      </c>
      <c r="G838" s="5">
        <f t="shared" si="191"/>
        <v>39.546999999999997</v>
      </c>
      <c r="H838" s="49">
        <v>82176.020868000007</v>
      </c>
      <c r="I838" s="49"/>
      <c r="J838" s="5">
        <f t="shared" si="189"/>
        <v>82176.020868000007</v>
      </c>
      <c r="K838" s="5">
        <f t="shared" si="190"/>
        <v>2077.9331142185251</v>
      </c>
      <c r="L838" s="5">
        <f t="shared" si="195"/>
        <v>0.61261516093953972</v>
      </c>
      <c r="M838" s="5">
        <f t="shared" si="196"/>
        <v>0</v>
      </c>
      <c r="N838" s="5">
        <f t="shared" si="197"/>
        <v>30839.8</v>
      </c>
    </row>
    <row r="839" spans="1:14" s="13" customFormat="1" ht="15.75" x14ac:dyDescent="0.25">
      <c r="A839" s="38">
        <v>13</v>
      </c>
      <c r="B839" s="34" t="s">
        <v>983</v>
      </c>
      <c r="C839" s="30" t="s">
        <v>2045</v>
      </c>
      <c r="D839" s="32" t="s">
        <v>2046</v>
      </c>
      <c r="E839" s="5">
        <v>22.529</v>
      </c>
      <c r="F839" s="5">
        <v>3.5999999999999997E-2</v>
      </c>
      <c r="G839" s="5">
        <f t="shared" si="191"/>
        <v>22.565000000000001</v>
      </c>
      <c r="H839" s="49">
        <v>67022.33544000001</v>
      </c>
      <c r="I839" s="49">
        <f>(-836.665-1040.065-36664.242-1066-14394.371)*0.6</f>
        <v>-32400.805799999998</v>
      </c>
      <c r="J839" s="5">
        <f t="shared" si="189"/>
        <v>34621.529640000008</v>
      </c>
      <c r="K839" s="5">
        <f t="shared" si="190"/>
        <v>1534.3022220252606</v>
      </c>
      <c r="L839" s="5">
        <f t="shared" si="195"/>
        <v>0.45234218379997876</v>
      </c>
      <c r="M839" s="5">
        <f t="shared" si="196"/>
        <v>0</v>
      </c>
      <c r="N839" s="5">
        <f t="shared" si="197"/>
        <v>27410.400000000001</v>
      </c>
    </row>
    <row r="840" spans="1:14" s="13" customFormat="1" ht="15.75" x14ac:dyDescent="0.25">
      <c r="A840" s="38">
        <v>13</v>
      </c>
      <c r="B840" s="34" t="s">
        <v>983</v>
      </c>
      <c r="C840" s="30" t="s">
        <v>2047</v>
      </c>
      <c r="D840" s="32" t="s">
        <v>2048</v>
      </c>
      <c r="E840" s="5">
        <v>15.231</v>
      </c>
      <c r="F840" s="5">
        <v>2.3E-2</v>
      </c>
      <c r="G840" s="5">
        <f t="shared" si="191"/>
        <v>15.254</v>
      </c>
      <c r="H840" s="49">
        <v>12869.981537999998</v>
      </c>
      <c r="I840" s="49"/>
      <c r="J840" s="5">
        <f t="shared" si="189"/>
        <v>12869.981537999998</v>
      </c>
      <c r="K840" s="5">
        <f t="shared" si="190"/>
        <v>843.71191412088626</v>
      </c>
      <c r="L840" s="5">
        <f t="shared" si="195"/>
        <v>0.24874270808767585</v>
      </c>
      <c r="M840" s="5">
        <f t="shared" si="196"/>
        <v>0</v>
      </c>
      <c r="N840" s="5">
        <f t="shared" si="197"/>
        <v>26956.9</v>
      </c>
    </row>
    <row r="841" spans="1:14" s="13" customFormat="1" ht="31.5" x14ac:dyDescent="0.25">
      <c r="A841" s="38">
        <v>13</v>
      </c>
      <c r="B841" s="34" t="s">
        <v>986</v>
      </c>
      <c r="C841" s="30" t="s">
        <v>2049</v>
      </c>
      <c r="D841" s="32" t="s">
        <v>2050</v>
      </c>
      <c r="E841" s="5">
        <v>89.314999999999998</v>
      </c>
      <c r="F841" s="5">
        <v>0.155</v>
      </c>
      <c r="G841" s="5">
        <f t="shared" si="191"/>
        <v>89.47</v>
      </c>
      <c r="H841" s="49">
        <v>314455.33791599999</v>
      </c>
      <c r="I841" s="49"/>
      <c r="J841" s="5">
        <f t="shared" si="189"/>
        <v>314455.33791599999</v>
      </c>
      <c r="K841" s="5">
        <f t="shared" si="190"/>
        <v>3514.6455562311389</v>
      </c>
      <c r="L841" s="5">
        <f t="shared" si="195"/>
        <v>1.036185976508551</v>
      </c>
      <c r="M841" s="5">
        <f t="shared" si="196"/>
        <v>0</v>
      </c>
      <c r="N841" s="5">
        <f t="shared" si="197"/>
        <v>0</v>
      </c>
    </row>
    <row r="842" spans="1:14" s="13" customFormat="1" ht="15.75" x14ac:dyDescent="0.25">
      <c r="A842" s="38">
        <v>13</v>
      </c>
      <c r="B842" s="34" t="s">
        <v>983</v>
      </c>
      <c r="C842" s="30" t="s">
        <v>2051</v>
      </c>
      <c r="D842" s="32" t="s">
        <v>2052</v>
      </c>
      <c r="E842" s="5">
        <v>52.231999999999999</v>
      </c>
      <c r="F842" s="5">
        <v>7.2999999999999995E-2</v>
      </c>
      <c r="G842" s="5">
        <f t="shared" si="191"/>
        <v>52.305</v>
      </c>
      <c r="H842" s="49">
        <v>212923.56169199996</v>
      </c>
      <c r="I842" s="49">
        <f>(-65739.288)*0.6</f>
        <v>-39443.572800000002</v>
      </c>
      <c r="J842" s="5">
        <f t="shared" si="189"/>
        <v>173479.98889199996</v>
      </c>
      <c r="K842" s="5">
        <f t="shared" si="190"/>
        <v>3316.6999119013471</v>
      </c>
      <c r="L842" s="5">
        <f t="shared" si="195"/>
        <v>0.97782774450935528</v>
      </c>
      <c r="M842" s="5">
        <f t="shared" si="196"/>
        <v>0</v>
      </c>
      <c r="N842" s="5">
        <f t="shared" si="197"/>
        <v>0</v>
      </c>
    </row>
    <row r="843" spans="1:14" s="13" customFormat="1" ht="15.75" x14ac:dyDescent="0.25">
      <c r="A843" s="36">
        <v>14</v>
      </c>
      <c r="B843" s="17" t="s">
        <v>7</v>
      </c>
      <c r="C843" s="17" t="s">
        <v>793</v>
      </c>
      <c r="D843" s="11" t="s">
        <v>982</v>
      </c>
      <c r="E843" s="11">
        <f t="shared" ref="E843:J843" si="198">E844+E845+E850</f>
        <v>1108.3939999999998</v>
      </c>
      <c r="F843" s="11">
        <f t="shared" si="198"/>
        <v>8.3129999999999988</v>
      </c>
      <c r="G843" s="11">
        <f t="shared" si="198"/>
        <v>1116.5610000000001</v>
      </c>
      <c r="H843" s="11">
        <f t="shared" si="198"/>
        <v>4005789.4740700005</v>
      </c>
      <c r="I843" s="11">
        <f t="shared" si="198"/>
        <v>444.16107599999998</v>
      </c>
      <c r="J843" s="11">
        <f t="shared" si="198"/>
        <v>4006233.6351460004</v>
      </c>
      <c r="K843" s="11">
        <f t="shared" si="190"/>
        <v>3588.0114343470709</v>
      </c>
      <c r="L843" s="11">
        <f t="shared" si="195"/>
        <v>1.0578156665702378</v>
      </c>
      <c r="M843" s="11">
        <f>M844+M845+M850</f>
        <v>314991.8</v>
      </c>
      <c r="N843" s="11">
        <f>N844+N845+N850</f>
        <v>342803.90000000008</v>
      </c>
    </row>
    <row r="844" spans="1:14" s="13" customFormat="1" ht="15.75" x14ac:dyDescent="0.25">
      <c r="A844" s="38">
        <v>14</v>
      </c>
      <c r="B844" s="34" t="s">
        <v>6</v>
      </c>
      <c r="C844" s="18" t="s">
        <v>128</v>
      </c>
      <c r="D844" s="32" t="s">
        <v>852</v>
      </c>
      <c r="E844" s="5">
        <v>0</v>
      </c>
      <c r="F844" s="5">
        <v>0.14599999999999999</v>
      </c>
      <c r="G844" s="5"/>
      <c r="H844" s="5"/>
      <c r="I844" s="5"/>
      <c r="J844" s="5"/>
      <c r="K844" s="5"/>
      <c r="L844" s="5"/>
      <c r="M844" s="5"/>
      <c r="N844" s="5"/>
    </row>
    <row r="845" spans="1:14" s="13" customFormat="1" ht="15.75" x14ac:dyDescent="0.25">
      <c r="A845" s="37">
        <v>14</v>
      </c>
      <c r="B845" s="19" t="s">
        <v>5</v>
      </c>
      <c r="C845" s="19" t="s">
        <v>794</v>
      </c>
      <c r="D845" s="7" t="s">
        <v>2806</v>
      </c>
      <c r="E845" s="7">
        <f t="shared" ref="E845:J845" si="199">SUM(E846:E849)</f>
        <v>0</v>
      </c>
      <c r="F845" s="7">
        <f t="shared" si="199"/>
        <v>0</v>
      </c>
      <c r="G845" s="7">
        <f t="shared" si="199"/>
        <v>0</v>
      </c>
      <c r="H845" s="7">
        <f t="shared" si="199"/>
        <v>0</v>
      </c>
      <c r="I845" s="7">
        <f t="shared" si="199"/>
        <v>0</v>
      </c>
      <c r="J845" s="7">
        <f t="shared" si="199"/>
        <v>0</v>
      </c>
      <c r="K845" s="7" t="e">
        <f>J845/G845</f>
        <v>#DIV/0!</v>
      </c>
      <c r="L845" s="7" t="e">
        <f>K845/$K$1659</f>
        <v>#DIV/0!</v>
      </c>
      <c r="M845" s="7">
        <f>SUM(M846:M849)</f>
        <v>0</v>
      </c>
      <c r="N845" s="7">
        <f>SUM(N846:N849)</f>
        <v>0</v>
      </c>
    </row>
    <row r="846" spans="1:14" s="13" customFormat="1" ht="15.75" x14ac:dyDescent="0.25">
      <c r="A846" s="38">
        <v>14</v>
      </c>
      <c r="B846" s="34" t="s">
        <v>4</v>
      </c>
      <c r="C846" s="18" t="s">
        <v>129</v>
      </c>
      <c r="D846" s="32" t="s">
        <v>930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s="13" customFormat="1" ht="15.75" x14ac:dyDescent="0.25">
      <c r="A847" s="38">
        <v>14</v>
      </c>
      <c r="B847" s="34" t="s">
        <v>4</v>
      </c>
      <c r="C847" s="18" t="s">
        <v>130</v>
      </c>
      <c r="D847" s="32" t="s">
        <v>931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s="13" customFormat="1" ht="15.75" x14ac:dyDescent="0.25">
      <c r="A848" s="38">
        <v>14</v>
      </c>
      <c r="B848" s="34" t="s">
        <v>4</v>
      </c>
      <c r="C848" s="18" t="s">
        <v>131</v>
      </c>
      <c r="D848" s="32" t="s">
        <v>926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s="13" customFormat="1" ht="15.75" x14ac:dyDescent="0.25">
      <c r="A849" s="38">
        <v>14</v>
      </c>
      <c r="B849" s="34" t="s">
        <v>4</v>
      </c>
      <c r="C849" s="18" t="s">
        <v>132</v>
      </c>
      <c r="D849" s="32" t="s">
        <v>932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s="13" customFormat="1" ht="31.5" x14ac:dyDescent="0.25">
      <c r="A850" s="37">
        <v>14</v>
      </c>
      <c r="B850" s="19" t="s">
        <v>28</v>
      </c>
      <c r="C850" s="19" t="s">
        <v>795</v>
      </c>
      <c r="D850" s="20" t="s">
        <v>2780</v>
      </c>
      <c r="E850" s="7">
        <f t="shared" ref="E850:J850" si="200">SUM(E851:E902)</f>
        <v>1108.3939999999998</v>
      </c>
      <c r="F850" s="7">
        <f t="shared" si="200"/>
        <v>8.166999999999998</v>
      </c>
      <c r="G850" s="7">
        <f t="shared" si="200"/>
        <v>1116.5610000000001</v>
      </c>
      <c r="H850" s="7">
        <f t="shared" si="200"/>
        <v>4005789.4740700005</v>
      </c>
      <c r="I850" s="7">
        <f t="shared" si="200"/>
        <v>444.16107599999998</v>
      </c>
      <c r="J850" s="7">
        <f t="shared" si="200"/>
        <v>4006233.6351460004</v>
      </c>
      <c r="K850" s="7">
        <f t="shared" ref="K850:K869" si="201">J850/G850</f>
        <v>3588.0114343470709</v>
      </c>
      <c r="L850" s="7">
        <f t="shared" ref="L850:L881" si="202">K850/$K$1659</f>
        <v>1.0578156665702378</v>
      </c>
      <c r="M850" s="7">
        <f>SUM(M851:M902)</f>
        <v>314991.8</v>
      </c>
      <c r="N850" s="7">
        <f>SUM(N851:N902)</f>
        <v>342803.90000000008</v>
      </c>
    </row>
    <row r="851" spans="1:14" s="13" customFormat="1" ht="15.75" x14ac:dyDescent="0.25">
      <c r="A851" s="38">
        <v>14</v>
      </c>
      <c r="B851" s="34" t="s">
        <v>984</v>
      </c>
      <c r="C851" s="18" t="s">
        <v>238</v>
      </c>
      <c r="D851" s="81" t="s">
        <v>2053</v>
      </c>
      <c r="E851" s="71">
        <v>7.5720000000000001</v>
      </c>
      <c r="F851" s="71">
        <v>4.3999999999999997E-2</v>
      </c>
      <c r="G851" s="5">
        <f t="shared" ref="G851:G887" si="203">F851+E851</f>
        <v>7.6159999999999997</v>
      </c>
      <c r="H851" s="5">
        <v>16359.495429999999</v>
      </c>
      <c r="I851" s="5"/>
      <c r="J851" s="5">
        <f t="shared" ref="J851:J869" si="204">H851+I851</f>
        <v>16359.495429999999</v>
      </c>
      <c r="K851" s="5">
        <f t="shared" si="201"/>
        <v>2148.0429923844536</v>
      </c>
      <c r="L851" s="5">
        <f t="shared" si="202"/>
        <v>0.63328491878794124</v>
      </c>
      <c r="M851" s="5">
        <f t="shared" ref="M851:M882" si="205">ROUND(IF(L851&lt;110%,0,(K851-$K$1659*1.1)*0.5)*G851,1)</f>
        <v>0</v>
      </c>
      <c r="N851" s="5">
        <f t="shared" ref="N851:N882" si="206">ROUND(IF(L851&gt;90%,0,(-K851+$K$1659*0.9)*0.8)*G851,1)</f>
        <v>5512</v>
      </c>
    </row>
    <row r="852" spans="1:14" s="13" customFormat="1" ht="15.75" x14ac:dyDescent="0.25">
      <c r="A852" s="38">
        <v>14</v>
      </c>
      <c r="B852" s="34" t="s">
        <v>983</v>
      </c>
      <c r="C852" s="18" t="s">
        <v>384</v>
      </c>
      <c r="D852" s="32" t="s">
        <v>2054</v>
      </c>
      <c r="E852" s="71">
        <v>21.94</v>
      </c>
      <c r="F852" s="71">
        <v>6.9000000000000006E-2</v>
      </c>
      <c r="G852" s="5">
        <f t="shared" si="203"/>
        <v>22.009</v>
      </c>
      <c r="H852" s="5">
        <v>56447.236859999997</v>
      </c>
      <c r="I852" s="5"/>
      <c r="J852" s="5">
        <f t="shared" si="204"/>
        <v>56447.236859999997</v>
      </c>
      <c r="K852" s="5">
        <f t="shared" si="201"/>
        <v>2564.7342841564814</v>
      </c>
      <c r="L852" s="5">
        <f t="shared" si="202"/>
        <v>0.75613362889525793</v>
      </c>
      <c r="M852" s="5">
        <f t="shared" si="205"/>
        <v>0</v>
      </c>
      <c r="N852" s="5">
        <f t="shared" si="206"/>
        <v>8592</v>
      </c>
    </row>
    <row r="853" spans="1:14" ht="31.5" x14ac:dyDescent="0.25">
      <c r="A853" s="38">
        <v>14</v>
      </c>
      <c r="B853" s="34" t="s">
        <v>985</v>
      </c>
      <c r="C853" s="18" t="s">
        <v>385</v>
      </c>
      <c r="D853" s="32" t="s">
        <v>1334</v>
      </c>
      <c r="E853" s="71">
        <v>9.02</v>
      </c>
      <c r="F853" s="71">
        <v>1.0999999999999999E-2</v>
      </c>
      <c r="G853" s="5">
        <f t="shared" si="203"/>
        <v>9.0309999999999988</v>
      </c>
      <c r="H853" s="5">
        <v>16195.845859999999</v>
      </c>
      <c r="I853" s="5">
        <f>(-1337.257)*0.6</f>
        <v>-802.35419999999999</v>
      </c>
      <c r="J853" s="5">
        <f t="shared" si="204"/>
        <v>15393.49166</v>
      </c>
      <c r="K853" s="5">
        <f t="shared" si="201"/>
        <v>1704.5168486324883</v>
      </c>
      <c r="L853" s="5">
        <f t="shared" si="202"/>
        <v>0.50252477156458397</v>
      </c>
      <c r="M853" s="5">
        <f t="shared" si="205"/>
        <v>0</v>
      </c>
      <c r="N853" s="5">
        <f t="shared" si="206"/>
        <v>9740.5</v>
      </c>
    </row>
    <row r="854" spans="1:14" ht="31.5" x14ac:dyDescent="0.25">
      <c r="A854" s="38">
        <v>14</v>
      </c>
      <c r="B854" s="34" t="s">
        <v>985</v>
      </c>
      <c r="C854" s="18" t="s">
        <v>386</v>
      </c>
      <c r="D854" s="32" t="s">
        <v>2055</v>
      </c>
      <c r="E854" s="71">
        <v>17.667000000000002</v>
      </c>
      <c r="F854" s="71">
        <v>5.8000000000000003E-2</v>
      </c>
      <c r="G854" s="5">
        <f t="shared" si="203"/>
        <v>17.725000000000001</v>
      </c>
      <c r="H854" s="5">
        <v>33390.128589999993</v>
      </c>
      <c r="I854" s="5"/>
      <c r="J854" s="5">
        <f t="shared" si="204"/>
        <v>33390.128589999993</v>
      </c>
      <c r="K854" s="5">
        <f t="shared" si="201"/>
        <v>1883.7872265162196</v>
      </c>
      <c r="L854" s="5">
        <f t="shared" si="202"/>
        <v>0.5553771712147223</v>
      </c>
      <c r="M854" s="5">
        <f t="shared" si="205"/>
        <v>0</v>
      </c>
      <c r="N854" s="5">
        <f t="shared" si="206"/>
        <v>16575.400000000001</v>
      </c>
    </row>
    <row r="855" spans="1:14" s="13" customFormat="1" ht="31.5" x14ac:dyDescent="0.25">
      <c r="A855" s="38">
        <v>14</v>
      </c>
      <c r="B855" s="34" t="s">
        <v>985</v>
      </c>
      <c r="C855" s="18" t="s">
        <v>387</v>
      </c>
      <c r="D855" s="32" t="s">
        <v>2056</v>
      </c>
      <c r="E855" s="71">
        <v>14.988</v>
      </c>
      <c r="F855" s="71">
        <v>2.8000000000000001E-2</v>
      </c>
      <c r="G855" s="5">
        <f t="shared" si="203"/>
        <v>15.016</v>
      </c>
      <c r="H855" s="5">
        <v>16547.45465</v>
      </c>
      <c r="I855" s="5"/>
      <c r="J855" s="5">
        <f t="shared" si="204"/>
        <v>16547.45465</v>
      </c>
      <c r="K855" s="5">
        <f t="shared" si="201"/>
        <v>1101.9881892647843</v>
      </c>
      <c r="L855" s="5">
        <f t="shared" si="202"/>
        <v>0.32488758531277812</v>
      </c>
      <c r="M855" s="5">
        <f t="shared" si="205"/>
        <v>0</v>
      </c>
      <c r="N855" s="5">
        <f t="shared" si="206"/>
        <v>23433.7</v>
      </c>
    </row>
    <row r="856" spans="1:14" s="13" customFormat="1" ht="31.5" x14ac:dyDescent="0.25">
      <c r="A856" s="38">
        <v>14</v>
      </c>
      <c r="B856" s="34" t="s">
        <v>985</v>
      </c>
      <c r="C856" s="18" t="s">
        <v>388</v>
      </c>
      <c r="D856" s="32" t="s">
        <v>2057</v>
      </c>
      <c r="E856" s="71">
        <v>14.670999999999999</v>
      </c>
      <c r="F856" s="71">
        <v>8.0000000000000002E-3</v>
      </c>
      <c r="G856" s="5">
        <f t="shared" si="203"/>
        <v>14.678999999999998</v>
      </c>
      <c r="H856" s="5">
        <v>26640.866050000001</v>
      </c>
      <c r="I856" s="5"/>
      <c r="J856" s="5">
        <f t="shared" si="204"/>
        <v>26640.866050000001</v>
      </c>
      <c r="K856" s="5">
        <f t="shared" si="201"/>
        <v>1814.8965222426598</v>
      </c>
      <c r="L856" s="5">
        <f t="shared" si="202"/>
        <v>0.53506684957972728</v>
      </c>
      <c r="M856" s="5">
        <f t="shared" si="205"/>
        <v>0</v>
      </c>
      <c r="N856" s="5">
        <f t="shared" si="206"/>
        <v>14536</v>
      </c>
    </row>
    <row r="857" spans="1:14" s="13" customFormat="1" ht="31.5" x14ac:dyDescent="0.25">
      <c r="A857" s="38">
        <v>14</v>
      </c>
      <c r="B857" s="34" t="s">
        <v>985</v>
      </c>
      <c r="C857" s="18" t="s">
        <v>389</v>
      </c>
      <c r="D857" s="32" t="s">
        <v>2058</v>
      </c>
      <c r="E857" s="71">
        <v>9.0649999999999995</v>
      </c>
      <c r="F857" s="71">
        <v>2.8000000000000001E-2</v>
      </c>
      <c r="G857" s="5">
        <f t="shared" si="203"/>
        <v>9.093</v>
      </c>
      <c r="H857" s="5">
        <v>21994.15654</v>
      </c>
      <c r="I857" s="5"/>
      <c r="J857" s="5">
        <f t="shared" si="204"/>
        <v>21994.15654</v>
      </c>
      <c r="K857" s="5">
        <f t="shared" si="201"/>
        <v>2418.8008951941056</v>
      </c>
      <c r="L857" s="5">
        <f t="shared" si="202"/>
        <v>0.7131096229954047</v>
      </c>
      <c r="M857" s="5">
        <f t="shared" si="205"/>
        <v>0</v>
      </c>
      <c r="N857" s="5">
        <f t="shared" si="206"/>
        <v>4611.3</v>
      </c>
    </row>
    <row r="858" spans="1:14" s="13" customFormat="1" ht="31.5" x14ac:dyDescent="0.25">
      <c r="A858" s="38">
        <v>14</v>
      </c>
      <c r="B858" s="34" t="s">
        <v>984</v>
      </c>
      <c r="C858" s="18" t="s">
        <v>390</v>
      </c>
      <c r="D858" s="32" t="s">
        <v>3039</v>
      </c>
      <c r="E858" s="71">
        <v>8.7189999999999994</v>
      </c>
      <c r="F858" s="71">
        <v>5.2999999999999999E-2</v>
      </c>
      <c r="G858" s="5">
        <f t="shared" si="203"/>
        <v>8.7720000000000002</v>
      </c>
      <c r="H858" s="5">
        <v>27741.812299999994</v>
      </c>
      <c r="I858" s="5"/>
      <c r="J858" s="5">
        <f t="shared" si="204"/>
        <v>27741.812299999994</v>
      </c>
      <c r="K858" s="5">
        <f t="shared" si="201"/>
        <v>3162.5413018695845</v>
      </c>
      <c r="L858" s="5">
        <f t="shared" si="202"/>
        <v>0.93237878320804723</v>
      </c>
      <c r="M858" s="5">
        <f t="shared" si="205"/>
        <v>0</v>
      </c>
      <c r="N858" s="5">
        <f t="shared" si="206"/>
        <v>0</v>
      </c>
    </row>
    <row r="859" spans="1:14" s="13" customFormat="1" ht="31.5" x14ac:dyDescent="0.25">
      <c r="A859" s="38">
        <v>14</v>
      </c>
      <c r="B859" s="34" t="s">
        <v>984</v>
      </c>
      <c r="C859" s="18" t="s">
        <v>391</v>
      </c>
      <c r="D859" s="32" t="s">
        <v>2060</v>
      </c>
      <c r="E859" s="71">
        <v>7.3390000000000004</v>
      </c>
      <c r="F859" s="71">
        <v>0.02</v>
      </c>
      <c r="G859" s="5">
        <f t="shared" si="203"/>
        <v>7.359</v>
      </c>
      <c r="H859" s="5">
        <v>15989.52477</v>
      </c>
      <c r="I859" s="5"/>
      <c r="J859" s="5">
        <f t="shared" si="204"/>
        <v>15989.52477</v>
      </c>
      <c r="K859" s="5">
        <f t="shared" si="201"/>
        <v>2172.7849938850386</v>
      </c>
      <c r="L859" s="5">
        <f t="shared" si="202"/>
        <v>0.64057934281320517</v>
      </c>
      <c r="M859" s="5">
        <f t="shared" si="205"/>
        <v>0</v>
      </c>
      <c r="N859" s="5">
        <f t="shared" si="206"/>
        <v>5180.3</v>
      </c>
    </row>
    <row r="860" spans="1:14" s="13" customFormat="1" ht="31.5" x14ac:dyDescent="0.25">
      <c r="A860" s="38">
        <v>14</v>
      </c>
      <c r="B860" s="34" t="s">
        <v>984</v>
      </c>
      <c r="C860" s="18" t="s">
        <v>392</v>
      </c>
      <c r="D860" s="32" t="s">
        <v>2061</v>
      </c>
      <c r="E860" s="71">
        <v>5.6879999999999997</v>
      </c>
      <c r="F860" s="71">
        <v>1.7000000000000001E-2</v>
      </c>
      <c r="G860" s="5">
        <f t="shared" si="203"/>
        <v>5.7050000000000001</v>
      </c>
      <c r="H860" s="5">
        <v>26918.512299999999</v>
      </c>
      <c r="I860" s="5"/>
      <c r="J860" s="5">
        <f t="shared" si="204"/>
        <v>26918.512299999999</v>
      </c>
      <c r="K860" s="5">
        <f t="shared" si="201"/>
        <v>4718.4070639789652</v>
      </c>
      <c r="L860" s="5">
        <f t="shared" si="202"/>
        <v>1.3910783186901698</v>
      </c>
      <c r="M860" s="5">
        <f t="shared" si="205"/>
        <v>2816.3</v>
      </c>
      <c r="N860" s="5">
        <f t="shared" si="206"/>
        <v>0</v>
      </c>
    </row>
    <row r="861" spans="1:14" s="13" customFormat="1" ht="15.75" x14ac:dyDescent="0.25">
      <c r="A861" s="38">
        <v>14</v>
      </c>
      <c r="B861" s="34" t="s">
        <v>984</v>
      </c>
      <c r="C861" s="18" t="s">
        <v>393</v>
      </c>
      <c r="D861" s="32" t="s">
        <v>2062</v>
      </c>
      <c r="E861" s="71">
        <v>5.306</v>
      </c>
      <c r="F861" s="71">
        <v>1.4999999999999999E-2</v>
      </c>
      <c r="G861" s="5">
        <f t="shared" si="203"/>
        <v>5.3209999999999997</v>
      </c>
      <c r="H861" s="5">
        <v>18641.769479999999</v>
      </c>
      <c r="I861" s="5"/>
      <c r="J861" s="5">
        <f t="shared" si="204"/>
        <v>18641.769479999999</v>
      </c>
      <c r="K861" s="5">
        <f t="shared" si="201"/>
        <v>3503.4334673933472</v>
      </c>
      <c r="L861" s="5">
        <f t="shared" si="202"/>
        <v>1.0328804343037361</v>
      </c>
      <c r="M861" s="5">
        <f t="shared" si="205"/>
        <v>0</v>
      </c>
      <c r="N861" s="5">
        <f t="shared" si="206"/>
        <v>0</v>
      </c>
    </row>
    <row r="862" spans="1:14" s="13" customFormat="1" ht="31.5" x14ac:dyDescent="0.25">
      <c r="A862" s="38">
        <v>14</v>
      </c>
      <c r="B862" s="34" t="s">
        <v>984</v>
      </c>
      <c r="C862" s="18" t="s">
        <v>394</v>
      </c>
      <c r="D862" s="32" t="s">
        <v>2063</v>
      </c>
      <c r="E862" s="71">
        <v>7.5019999999999998</v>
      </c>
      <c r="F862" s="71">
        <v>3.4000000000000002E-2</v>
      </c>
      <c r="G862" s="5">
        <f t="shared" si="203"/>
        <v>7.5359999999999996</v>
      </c>
      <c r="H862" s="5">
        <v>100844.27190000001</v>
      </c>
      <c r="I862" s="5"/>
      <c r="J862" s="5">
        <f t="shared" si="204"/>
        <v>100844.27190000001</v>
      </c>
      <c r="K862" s="5">
        <f t="shared" si="201"/>
        <v>13381.67089968153</v>
      </c>
      <c r="L862" s="5">
        <f t="shared" si="202"/>
        <v>3.9451772608818607</v>
      </c>
      <c r="M862" s="5">
        <f t="shared" si="205"/>
        <v>36363.4</v>
      </c>
      <c r="N862" s="5">
        <f t="shared" si="206"/>
        <v>0</v>
      </c>
    </row>
    <row r="863" spans="1:14" s="13" customFormat="1" ht="15.75" x14ac:dyDescent="0.25">
      <c r="A863" s="38">
        <v>14</v>
      </c>
      <c r="B863" s="34" t="s">
        <v>984</v>
      </c>
      <c r="C863" s="18" t="s">
        <v>395</v>
      </c>
      <c r="D863" s="32" t="s">
        <v>2064</v>
      </c>
      <c r="E863" s="71">
        <v>7.7889999999999997</v>
      </c>
      <c r="F863" s="71">
        <v>1.4999999999999999E-2</v>
      </c>
      <c r="G863" s="5">
        <f t="shared" si="203"/>
        <v>7.8039999999999994</v>
      </c>
      <c r="H863" s="5">
        <v>24874.635329999997</v>
      </c>
      <c r="I863" s="5"/>
      <c r="J863" s="5">
        <f t="shared" si="204"/>
        <v>24874.635329999997</v>
      </c>
      <c r="K863" s="5">
        <f t="shared" si="201"/>
        <v>3187.4212365453614</v>
      </c>
      <c r="L863" s="5">
        <f t="shared" si="202"/>
        <v>0.93971387262034456</v>
      </c>
      <c r="M863" s="5">
        <f t="shared" si="205"/>
        <v>0</v>
      </c>
      <c r="N863" s="5">
        <f t="shared" si="206"/>
        <v>0</v>
      </c>
    </row>
    <row r="864" spans="1:14" s="13" customFormat="1" ht="15.75" x14ac:dyDescent="0.25">
      <c r="A864" s="38">
        <v>14</v>
      </c>
      <c r="B864" s="34" t="s">
        <v>984</v>
      </c>
      <c r="C864" s="18" t="s">
        <v>396</v>
      </c>
      <c r="D864" s="32" t="s">
        <v>2065</v>
      </c>
      <c r="E864" s="71">
        <v>4.4420000000000002</v>
      </c>
      <c r="F864" s="71">
        <v>0</v>
      </c>
      <c r="G864" s="5">
        <f t="shared" si="203"/>
        <v>4.4420000000000002</v>
      </c>
      <c r="H864" s="5">
        <v>10470.534900000001</v>
      </c>
      <c r="I864" s="5"/>
      <c r="J864" s="5">
        <f t="shared" si="204"/>
        <v>10470.534900000001</v>
      </c>
      <c r="K864" s="5">
        <f t="shared" si="201"/>
        <v>2357.1667942368304</v>
      </c>
      <c r="L864" s="5">
        <f t="shared" si="202"/>
        <v>0.69493868937923531</v>
      </c>
      <c r="M864" s="5">
        <f t="shared" si="205"/>
        <v>0</v>
      </c>
      <c r="N864" s="5">
        <f t="shared" si="206"/>
        <v>2471.6999999999998</v>
      </c>
    </row>
    <row r="865" spans="1:14" s="13" customFormat="1" ht="31.5" x14ac:dyDescent="0.25">
      <c r="A865" s="38">
        <v>14</v>
      </c>
      <c r="B865" s="34" t="s">
        <v>984</v>
      </c>
      <c r="C865" s="18" t="s">
        <v>397</v>
      </c>
      <c r="D865" s="32" t="s">
        <v>2066</v>
      </c>
      <c r="E865" s="71">
        <v>4.2439999999999998</v>
      </c>
      <c r="F865" s="71">
        <v>1.0999999999999999E-2</v>
      </c>
      <c r="G865" s="5">
        <f t="shared" si="203"/>
        <v>4.2549999999999999</v>
      </c>
      <c r="H865" s="5">
        <v>7651.8733400000001</v>
      </c>
      <c r="I865" s="5"/>
      <c r="J865" s="5">
        <f t="shared" si="204"/>
        <v>7651.8733400000001</v>
      </c>
      <c r="K865" s="5">
        <f t="shared" si="201"/>
        <v>1798.3251092831963</v>
      </c>
      <c r="L865" s="5">
        <f t="shared" si="202"/>
        <v>0.53018127422232453</v>
      </c>
      <c r="M865" s="5">
        <f t="shared" si="205"/>
        <v>0</v>
      </c>
      <c r="N865" s="5">
        <f t="shared" si="206"/>
        <v>4269.8999999999996</v>
      </c>
    </row>
    <row r="866" spans="1:14" s="13" customFormat="1" ht="31.5" x14ac:dyDescent="0.25">
      <c r="A866" s="38">
        <v>14</v>
      </c>
      <c r="B866" s="34" t="s">
        <v>984</v>
      </c>
      <c r="C866" s="18" t="s">
        <v>398</v>
      </c>
      <c r="D866" s="32" t="s">
        <v>2067</v>
      </c>
      <c r="E866" s="71">
        <v>7.681</v>
      </c>
      <c r="F866" s="71">
        <v>1.0999999999999999E-2</v>
      </c>
      <c r="G866" s="5">
        <f t="shared" si="203"/>
        <v>7.6920000000000002</v>
      </c>
      <c r="H866" s="5">
        <v>14704.83041</v>
      </c>
      <c r="I866" s="5"/>
      <c r="J866" s="5">
        <f t="shared" si="204"/>
        <v>14704.83041</v>
      </c>
      <c r="K866" s="5">
        <f t="shared" si="201"/>
        <v>1911.7044214768591</v>
      </c>
      <c r="L866" s="5">
        <f t="shared" si="202"/>
        <v>0.56360770412589578</v>
      </c>
      <c r="M866" s="5">
        <f t="shared" si="205"/>
        <v>0</v>
      </c>
      <c r="N866" s="5">
        <f t="shared" si="206"/>
        <v>7021.3</v>
      </c>
    </row>
    <row r="867" spans="1:14" s="13" customFormat="1" ht="31.5" x14ac:dyDescent="0.25">
      <c r="A867" s="38">
        <v>14</v>
      </c>
      <c r="B867" s="34" t="s">
        <v>984</v>
      </c>
      <c r="C867" s="18" t="s">
        <v>399</v>
      </c>
      <c r="D867" s="32" t="s">
        <v>2068</v>
      </c>
      <c r="E867" s="71">
        <v>5.298</v>
      </c>
      <c r="F867" s="71">
        <v>3.5000000000000003E-2</v>
      </c>
      <c r="G867" s="5">
        <f t="shared" si="203"/>
        <v>5.3330000000000002</v>
      </c>
      <c r="H867" s="5">
        <v>9733.2595599999986</v>
      </c>
      <c r="I867" s="5"/>
      <c r="J867" s="5">
        <f t="shared" si="204"/>
        <v>9733.2595599999986</v>
      </c>
      <c r="K867" s="5">
        <f t="shared" si="201"/>
        <v>1825.1002362647662</v>
      </c>
      <c r="L867" s="5">
        <f t="shared" si="202"/>
        <v>0.53807510324538232</v>
      </c>
      <c r="M867" s="5">
        <f t="shared" si="205"/>
        <v>0</v>
      </c>
      <c r="N867" s="5">
        <f t="shared" si="206"/>
        <v>5237.5</v>
      </c>
    </row>
    <row r="868" spans="1:14" s="13" customFormat="1" ht="31.5" x14ac:dyDescent="0.25">
      <c r="A868" s="38">
        <v>14</v>
      </c>
      <c r="B868" s="34" t="s">
        <v>984</v>
      </c>
      <c r="C868" s="18" t="s">
        <v>400</v>
      </c>
      <c r="D868" s="32" t="s">
        <v>2069</v>
      </c>
      <c r="E868" s="71">
        <v>14.41</v>
      </c>
      <c r="F868" s="71">
        <v>7.0999999999999994E-2</v>
      </c>
      <c r="G868" s="5">
        <f t="shared" si="203"/>
        <v>14.481</v>
      </c>
      <c r="H868" s="5">
        <v>49552.498</v>
      </c>
      <c r="I868" s="5"/>
      <c r="J868" s="5">
        <f t="shared" si="204"/>
        <v>49552.498</v>
      </c>
      <c r="K868" s="5">
        <f t="shared" si="201"/>
        <v>3421.8975208894412</v>
      </c>
      <c r="L868" s="5">
        <f t="shared" si="202"/>
        <v>1.0088420489254688</v>
      </c>
      <c r="M868" s="5">
        <f t="shared" si="205"/>
        <v>0</v>
      </c>
      <c r="N868" s="5">
        <f t="shared" si="206"/>
        <v>0</v>
      </c>
    </row>
    <row r="869" spans="1:14" s="13" customFormat="1" ht="31.5" x14ac:dyDescent="0.25">
      <c r="A869" s="38">
        <v>14</v>
      </c>
      <c r="B869" s="34" t="s">
        <v>984</v>
      </c>
      <c r="C869" s="18" t="s">
        <v>490</v>
      </c>
      <c r="D869" s="32" t="s">
        <v>3040</v>
      </c>
      <c r="E869" s="71">
        <v>5.4420000000000002</v>
      </c>
      <c r="F869" s="71">
        <v>2.1999999999999999E-2</v>
      </c>
      <c r="G869" s="5">
        <f t="shared" si="203"/>
        <v>5.4640000000000004</v>
      </c>
      <c r="H869" s="5">
        <v>8252.4630399999987</v>
      </c>
      <c r="I869" s="5"/>
      <c r="J869" s="5">
        <f t="shared" si="204"/>
        <v>8252.4630399999987</v>
      </c>
      <c r="K869" s="5">
        <f t="shared" si="201"/>
        <v>1510.3336456808195</v>
      </c>
      <c r="L869" s="5">
        <f t="shared" si="202"/>
        <v>0.44527578057734007</v>
      </c>
      <c r="M869" s="5">
        <f t="shared" si="205"/>
        <v>0</v>
      </c>
      <c r="N869" s="5">
        <f t="shared" si="206"/>
        <v>6742.1</v>
      </c>
    </row>
    <row r="870" spans="1:14" s="13" customFormat="1" ht="31.5" x14ac:dyDescent="0.25">
      <c r="A870" s="38">
        <v>14</v>
      </c>
      <c r="B870" s="34" t="s">
        <v>985</v>
      </c>
      <c r="C870" s="18" t="s">
        <v>699</v>
      </c>
      <c r="D870" s="32" t="s">
        <v>2071</v>
      </c>
      <c r="E870" s="71">
        <v>13.701000000000001</v>
      </c>
      <c r="F870" s="71">
        <v>1.7000000000000001E-2</v>
      </c>
      <c r="G870" s="5">
        <f t="shared" si="203"/>
        <v>13.718</v>
      </c>
      <c r="H870" s="5">
        <v>31726.57271</v>
      </c>
      <c r="I870" s="5"/>
      <c r="J870" s="5">
        <f t="shared" ref="J870:J880" si="207">H870+I870</f>
        <v>31726.57271</v>
      </c>
      <c r="K870" s="5">
        <f t="shared" ref="K870:K880" si="208">J870/G870</f>
        <v>2312.769551683919</v>
      </c>
      <c r="L870" s="5">
        <f t="shared" si="202"/>
        <v>0.68184951740073663</v>
      </c>
      <c r="M870" s="5">
        <f t="shared" si="205"/>
        <v>0</v>
      </c>
      <c r="N870" s="5">
        <f t="shared" si="206"/>
        <v>8120.5</v>
      </c>
    </row>
    <row r="871" spans="1:14" s="13" customFormat="1" ht="15.75" x14ac:dyDescent="0.25">
      <c r="A871" s="38">
        <v>14</v>
      </c>
      <c r="B871" s="34" t="s">
        <v>984</v>
      </c>
      <c r="C871" s="18" t="s">
        <v>700</v>
      </c>
      <c r="D871" s="32" t="s">
        <v>2072</v>
      </c>
      <c r="E871" s="71">
        <v>5.016</v>
      </c>
      <c r="F871" s="71">
        <v>0</v>
      </c>
      <c r="G871" s="5">
        <f t="shared" si="203"/>
        <v>5.016</v>
      </c>
      <c r="H871" s="5">
        <v>9030.6089600000014</v>
      </c>
      <c r="I871" s="5"/>
      <c r="J871" s="5">
        <f t="shared" si="207"/>
        <v>9030.6089600000014</v>
      </c>
      <c r="K871" s="5">
        <f t="shared" si="208"/>
        <v>1800.3606379585331</v>
      </c>
      <c r="L871" s="5">
        <f t="shared" si="202"/>
        <v>0.53078138772862826</v>
      </c>
      <c r="M871" s="5">
        <f t="shared" si="205"/>
        <v>0</v>
      </c>
      <c r="N871" s="5">
        <f t="shared" si="206"/>
        <v>5025.3999999999996</v>
      </c>
    </row>
    <row r="872" spans="1:14" s="13" customFormat="1" ht="31.5" x14ac:dyDescent="0.25">
      <c r="A872" s="38">
        <v>14</v>
      </c>
      <c r="B872" s="34" t="s">
        <v>984</v>
      </c>
      <c r="C872" s="18" t="s">
        <v>701</v>
      </c>
      <c r="D872" s="32" t="s">
        <v>2073</v>
      </c>
      <c r="E872" s="71">
        <v>3.3580000000000001</v>
      </c>
      <c r="F872" s="71">
        <v>7.0000000000000001E-3</v>
      </c>
      <c r="G872" s="5">
        <f t="shared" si="203"/>
        <v>3.3650000000000002</v>
      </c>
      <c r="H872" s="5">
        <v>9071.4721700000009</v>
      </c>
      <c r="I872" s="5"/>
      <c r="J872" s="5">
        <f t="shared" si="207"/>
        <v>9071.4721700000009</v>
      </c>
      <c r="K872" s="5">
        <f t="shared" si="208"/>
        <v>2695.8312540861812</v>
      </c>
      <c r="L872" s="5">
        <f t="shared" si="202"/>
        <v>0.79478356944561723</v>
      </c>
      <c r="M872" s="5">
        <f t="shared" si="205"/>
        <v>0</v>
      </c>
      <c r="N872" s="5">
        <f t="shared" si="206"/>
        <v>960.7</v>
      </c>
    </row>
    <row r="873" spans="1:14" s="13" customFormat="1" ht="31.5" x14ac:dyDescent="0.25">
      <c r="A873" s="38">
        <v>14</v>
      </c>
      <c r="B873" s="34" t="s">
        <v>985</v>
      </c>
      <c r="C873" s="18" t="s">
        <v>702</v>
      </c>
      <c r="D873" s="32" t="s">
        <v>2074</v>
      </c>
      <c r="E873" s="71">
        <v>14.836</v>
      </c>
      <c r="F873" s="71">
        <v>7.0999999999999994E-2</v>
      </c>
      <c r="G873" s="5">
        <f t="shared" si="203"/>
        <v>14.907</v>
      </c>
      <c r="H873" s="5">
        <v>37753.447370000002</v>
      </c>
      <c r="I873" s="5"/>
      <c r="J873" s="5">
        <f t="shared" si="207"/>
        <v>37753.447370000002</v>
      </c>
      <c r="K873" s="5">
        <f t="shared" si="208"/>
        <v>2532.5986026698865</v>
      </c>
      <c r="L873" s="5">
        <f t="shared" si="202"/>
        <v>0.74665940397863162</v>
      </c>
      <c r="M873" s="5">
        <f t="shared" si="205"/>
        <v>0</v>
      </c>
      <c r="N873" s="5">
        <f t="shared" si="206"/>
        <v>6202.7</v>
      </c>
    </row>
    <row r="874" spans="1:14" s="13" customFormat="1" ht="31.5" x14ac:dyDescent="0.25">
      <c r="A874" s="38">
        <v>14</v>
      </c>
      <c r="B874" s="34" t="s">
        <v>984</v>
      </c>
      <c r="C874" s="18" t="s">
        <v>703</v>
      </c>
      <c r="D874" s="32" t="s">
        <v>1618</v>
      </c>
      <c r="E874" s="71">
        <v>3.4249999999999998</v>
      </c>
      <c r="F874" s="71">
        <v>4.0000000000000001E-3</v>
      </c>
      <c r="G874" s="5">
        <f t="shared" si="203"/>
        <v>3.4289999999999998</v>
      </c>
      <c r="H874" s="5">
        <v>11753.884910000001</v>
      </c>
      <c r="I874" s="5"/>
      <c r="J874" s="5">
        <f t="shared" si="207"/>
        <v>11753.884910000001</v>
      </c>
      <c r="K874" s="5">
        <f t="shared" si="208"/>
        <v>3427.7879585885103</v>
      </c>
      <c r="L874" s="5">
        <f t="shared" si="202"/>
        <v>1.0105786647069523</v>
      </c>
      <c r="M874" s="5">
        <f t="shared" si="205"/>
        <v>0</v>
      </c>
      <c r="N874" s="5">
        <f t="shared" si="206"/>
        <v>0</v>
      </c>
    </row>
    <row r="875" spans="1:14" s="13" customFormat="1" ht="31.5" x14ac:dyDescent="0.25">
      <c r="A875" s="38">
        <v>14</v>
      </c>
      <c r="B875" s="34" t="s">
        <v>984</v>
      </c>
      <c r="C875" s="18" t="s">
        <v>704</v>
      </c>
      <c r="D875" s="32" t="s">
        <v>2075</v>
      </c>
      <c r="E875" s="71">
        <v>4.125</v>
      </c>
      <c r="F875" s="71">
        <v>2.3E-2</v>
      </c>
      <c r="G875" s="5">
        <f t="shared" si="203"/>
        <v>4.1479999999999997</v>
      </c>
      <c r="H875" s="5">
        <v>12327.251619999999</v>
      </c>
      <c r="I875" s="5"/>
      <c r="J875" s="5">
        <f t="shared" si="207"/>
        <v>12327.251619999999</v>
      </c>
      <c r="K875" s="5">
        <f t="shared" si="208"/>
        <v>2971.8542960462873</v>
      </c>
      <c r="L875" s="5">
        <f t="shared" si="202"/>
        <v>0.87616053924139714</v>
      </c>
      <c r="M875" s="5">
        <f t="shared" si="205"/>
        <v>0</v>
      </c>
      <c r="N875" s="5">
        <f t="shared" si="206"/>
        <v>268.3</v>
      </c>
    </row>
    <row r="876" spans="1:14" s="12" customFormat="1" ht="31.5" x14ac:dyDescent="0.25">
      <c r="A876" s="38">
        <v>14</v>
      </c>
      <c r="B876" s="34" t="s">
        <v>985</v>
      </c>
      <c r="C876" s="18" t="s">
        <v>705</v>
      </c>
      <c r="D876" s="32" t="s">
        <v>2076</v>
      </c>
      <c r="E876" s="71">
        <v>10.257999999999999</v>
      </c>
      <c r="F876" s="71">
        <v>4.4999999999999998E-2</v>
      </c>
      <c r="G876" s="5">
        <f t="shared" si="203"/>
        <v>10.302999999999999</v>
      </c>
      <c r="H876" s="5">
        <v>25844.55198</v>
      </c>
      <c r="I876" s="5"/>
      <c r="J876" s="5">
        <f t="shared" si="207"/>
        <v>25844.55198</v>
      </c>
      <c r="K876" s="5">
        <f t="shared" si="208"/>
        <v>2508.4491876152579</v>
      </c>
      <c r="L876" s="5">
        <f t="shared" si="202"/>
        <v>0.73953968598142794</v>
      </c>
      <c r="M876" s="5">
        <f t="shared" si="205"/>
        <v>0</v>
      </c>
      <c r="N876" s="5">
        <f t="shared" si="206"/>
        <v>4486.1000000000004</v>
      </c>
    </row>
    <row r="877" spans="1:14" ht="31.5" x14ac:dyDescent="0.25">
      <c r="A877" s="38">
        <v>14</v>
      </c>
      <c r="B877" s="34" t="s">
        <v>986</v>
      </c>
      <c r="C877" s="18">
        <v>14529000000</v>
      </c>
      <c r="D877" s="32" t="s">
        <v>3041</v>
      </c>
      <c r="E877" s="5">
        <v>35.42</v>
      </c>
      <c r="F877" s="5">
        <v>0.20399999999999999</v>
      </c>
      <c r="G877" s="5">
        <f t="shared" si="203"/>
        <v>35.624000000000002</v>
      </c>
      <c r="H877" s="5">
        <v>98347.965510000009</v>
      </c>
      <c r="I877" s="5">
        <f>(1337.257-1211.297)*0.6</f>
        <v>75.576000000000022</v>
      </c>
      <c r="J877" s="5">
        <f t="shared" si="207"/>
        <v>98423.54151000001</v>
      </c>
      <c r="K877" s="5">
        <f t="shared" si="208"/>
        <v>2762.8436309791155</v>
      </c>
      <c r="L877" s="5">
        <f t="shared" si="202"/>
        <v>0.81454012357832584</v>
      </c>
      <c r="M877" s="5">
        <f t="shared" si="205"/>
        <v>0</v>
      </c>
      <c r="N877" s="5">
        <f t="shared" si="206"/>
        <v>8261.1</v>
      </c>
    </row>
    <row r="878" spans="1:14" ht="31.5" x14ac:dyDescent="0.25">
      <c r="A878" s="38">
        <v>14</v>
      </c>
      <c r="B878" s="34" t="s">
        <v>985</v>
      </c>
      <c r="C878" s="18">
        <v>14530000000</v>
      </c>
      <c r="D878" s="32" t="s">
        <v>3042</v>
      </c>
      <c r="E878" s="5">
        <v>19.059000000000001</v>
      </c>
      <c r="F878" s="5">
        <v>2.1999999999999999E-2</v>
      </c>
      <c r="G878" s="5">
        <f t="shared" si="203"/>
        <v>19.081</v>
      </c>
      <c r="H878" s="5">
        <v>42662.223469999997</v>
      </c>
      <c r="I878" s="5"/>
      <c r="J878" s="5">
        <f t="shared" si="207"/>
        <v>42662.223469999997</v>
      </c>
      <c r="K878" s="5">
        <f t="shared" si="208"/>
        <v>2235.8484078402598</v>
      </c>
      <c r="L878" s="5">
        <f t="shared" si="202"/>
        <v>0.65917166574468899</v>
      </c>
      <c r="M878" s="5">
        <f t="shared" si="205"/>
        <v>0</v>
      </c>
      <c r="N878" s="5">
        <f t="shared" si="206"/>
        <v>12469.3</v>
      </c>
    </row>
    <row r="879" spans="1:14" ht="15.75" x14ac:dyDescent="0.25">
      <c r="A879" s="38">
        <v>14</v>
      </c>
      <c r="B879" s="34" t="s">
        <v>983</v>
      </c>
      <c r="C879" s="18">
        <v>14531000000</v>
      </c>
      <c r="D879" s="32" t="s">
        <v>2831</v>
      </c>
      <c r="E879" s="5">
        <v>18.364999999999998</v>
      </c>
      <c r="F879" s="5">
        <v>5.7000000000000002E-2</v>
      </c>
      <c r="G879" s="5">
        <f t="shared" si="203"/>
        <v>18.421999999999997</v>
      </c>
      <c r="H879" s="5">
        <v>34863.682000000001</v>
      </c>
      <c r="I879" s="5"/>
      <c r="J879" s="5">
        <f t="shared" si="207"/>
        <v>34863.682000000001</v>
      </c>
      <c r="K879" s="5">
        <f t="shared" si="208"/>
        <v>1892.5025512973623</v>
      </c>
      <c r="L879" s="5">
        <f t="shared" si="202"/>
        <v>0.55794661873779527</v>
      </c>
      <c r="M879" s="5">
        <f t="shared" si="205"/>
        <v>0</v>
      </c>
      <c r="N879" s="5">
        <f t="shared" si="206"/>
        <v>17098.8</v>
      </c>
    </row>
    <row r="880" spans="1:14" ht="15.75" x14ac:dyDescent="0.25">
      <c r="A880" s="38">
        <v>14</v>
      </c>
      <c r="B880" s="34" t="s">
        <v>983</v>
      </c>
      <c r="C880" s="18">
        <v>14532000000</v>
      </c>
      <c r="D880" s="32" t="s">
        <v>3043</v>
      </c>
      <c r="E880" s="5">
        <v>23.199000000000002</v>
      </c>
      <c r="F880" s="5">
        <v>8.7999999999999995E-2</v>
      </c>
      <c r="G880" s="5">
        <f t="shared" si="203"/>
        <v>23.287000000000003</v>
      </c>
      <c r="H880" s="5">
        <v>58054.880680000002</v>
      </c>
      <c r="I880" s="5"/>
      <c r="J880" s="5">
        <f t="shared" si="207"/>
        <v>58054.880680000002</v>
      </c>
      <c r="K880" s="5">
        <f t="shared" si="208"/>
        <v>2493.0167337999742</v>
      </c>
      <c r="L880" s="5">
        <f t="shared" si="202"/>
        <v>0.73498989796705405</v>
      </c>
      <c r="M880" s="5">
        <f t="shared" si="205"/>
        <v>0</v>
      </c>
      <c r="N880" s="5">
        <f t="shared" si="206"/>
        <v>10427</v>
      </c>
    </row>
    <row r="881" spans="1:14" ht="31.5" x14ac:dyDescent="0.25">
      <c r="A881" s="38">
        <v>14</v>
      </c>
      <c r="B881" s="34" t="s">
        <v>984</v>
      </c>
      <c r="C881" s="18">
        <v>14534000000</v>
      </c>
      <c r="D881" s="32" t="s">
        <v>3044</v>
      </c>
      <c r="E881" s="5">
        <v>5.5270000000000001</v>
      </c>
      <c r="F881" s="5">
        <v>8.9999999999999993E-3</v>
      </c>
      <c r="G881" s="5">
        <f t="shared" si="203"/>
        <v>5.5360000000000005</v>
      </c>
      <c r="H881" s="5">
        <v>9178.4121899999991</v>
      </c>
      <c r="I881" s="5"/>
      <c r="J881" s="5">
        <f>H881+I881</f>
        <v>9178.4121899999991</v>
      </c>
      <c r="K881" s="5">
        <f t="shared" ref="K881:K903" si="209">J881/G881</f>
        <v>1657.9501788294795</v>
      </c>
      <c r="L881" s="5">
        <f t="shared" si="202"/>
        <v>0.48879601017155067</v>
      </c>
      <c r="M881" s="5">
        <f t="shared" si="205"/>
        <v>0</v>
      </c>
      <c r="N881" s="5">
        <f t="shared" si="206"/>
        <v>6177.1</v>
      </c>
    </row>
    <row r="882" spans="1:14" ht="31.5" x14ac:dyDescent="0.25">
      <c r="A882" s="38">
        <v>14</v>
      </c>
      <c r="B882" s="34" t="s">
        <v>984</v>
      </c>
      <c r="C882" s="18">
        <v>14535000000</v>
      </c>
      <c r="D882" s="32" t="s">
        <v>3045</v>
      </c>
      <c r="E882" s="5">
        <v>7.2720000000000002</v>
      </c>
      <c r="F882" s="5">
        <v>8.0000000000000002E-3</v>
      </c>
      <c r="G882" s="5">
        <f t="shared" si="203"/>
        <v>7.28</v>
      </c>
      <c r="H882" s="5">
        <v>15438.437</v>
      </c>
      <c r="I882" s="5"/>
      <c r="J882" s="5">
        <f>H882+I882</f>
        <v>15438.437</v>
      </c>
      <c r="K882" s="5">
        <f t="shared" si="209"/>
        <v>2120.664423076923</v>
      </c>
      <c r="L882" s="5">
        <f t="shared" ref="L882:L903" si="210">K882/$K$1659</f>
        <v>0.62521318321192143</v>
      </c>
      <c r="M882" s="5">
        <f t="shared" si="205"/>
        <v>0</v>
      </c>
      <c r="N882" s="5">
        <f t="shared" si="206"/>
        <v>5428.3</v>
      </c>
    </row>
    <row r="883" spans="1:14" ht="15.75" x14ac:dyDescent="0.25">
      <c r="A883" s="38">
        <v>14</v>
      </c>
      <c r="B883" s="34" t="s">
        <v>984</v>
      </c>
      <c r="C883" s="18">
        <v>14538000000</v>
      </c>
      <c r="D883" s="32" t="s">
        <v>3046</v>
      </c>
      <c r="E883" s="5">
        <v>8.2430000000000003</v>
      </c>
      <c r="F883" s="5">
        <v>2.1999999999999999E-2</v>
      </c>
      <c r="G883" s="5">
        <f t="shared" si="203"/>
        <v>8.2650000000000006</v>
      </c>
      <c r="H883" s="5">
        <v>31113.650279999998</v>
      </c>
      <c r="I883" s="5"/>
      <c r="J883" s="5">
        <f t="shared" ref="J883:J891" si="211">H883+I883</f>
        <v>31113.650279999998</v>
      </c>
      <c r="K883" s="5">
        <f t="shared" si="209"/>
        <v>3764.5069909255894</v>
      </c>
      <c r="L883" s="5">
        <f t="shared" si="210"/>
        <v>1.1098499948451046</v>
      </c>
      <c r="M883" s="5">
        <f t="shared" ref="M883:M902" si="212">ROUND(IF(L883&lt;110%,0,(K883-$K$1659*1.1)*0.5)*G883,1)</f>
        <v>138.1</v>
      </c>
      <c r="N883" s="5">
        <f t="shared" ref="N883:N902" si="213">ROUND(IF(L883&gt;90%,0,(-K883+$K$1659*0.9)*0.8)*G883,1)</f>
        <v>0</v>
      </c>
    </row>
    <row r="884" spans="1:14" ht="31.5" x14ac:dyDescent="0.25">
      <c r="A884" s="38">
        <v>14</v>
      </c>
      <c r="B884" s="34" t="s">
        <v>984</v>
      </c>
      <c r="C884" s="18">
        <v>14539000000</v>
      </c>
      <c r="D884" s="32" t="s">
        <v>3047</v>
      </c>
      <c r="E884" s="5">
        <v>4.9470000000000001</v>
      </c>
      <c r="F884" s="5">
        <v>2.8000000000000001E-2</v>
      </c>
      <c r="G884" s="5">
        <f t="shared" si="203"/>
        <v>4.9749999999999996</v>
      </c>
      <c r="H884" s="5">
        <v>11537.57458</v>
      </c>
      <c r="I884" s="5"/>
      <c r="J884" s="5">
        <f t="shared" si="211"/>
        <v>11537.57458</v>
      </c>
      <c r="K884" s="5">
        <f t="shared" si="209"/>
        <v>2319.1104683417088</v>
      </c>
      <c r="L884" s="5">
        <f t="shared" si="210"/>
        <v>0.6837189431547398</v>
      </c>
      <c r="M884" s="5">
        <f t="shared" si="212"/>
        <v>0</v>
      </c>
      <c r="N884" s="5">
        <f t="shared" si="213"/>
        <v>2919.7</v>
      </c>
    </row>
    <row r="885" spans="1:14" ht="15.75" x14ac:dyDescent="0.25">
      <c r="A885" s="38">
        <v>14</v>
      </c>
      <c r="B885" s="34" t="s">
        <v>984</v>
      </c>
      <c r="C885" s="18">
        <v>14540000000</v>
      </c>
      <c r="D885" s="32" t="s">
        <v>3048</v>
      </c>
      <c r="E885" s="5">
        <v>5.65</v>
      </c>
      <c r="F885" s="5">
        <v>0.01</v>
      </c>
      <c r="G885" s="5">
        <f t="shared" si="203"/>
        <v>5.66</v>
      </c>
      <c r="H885" s="5">
        <v>9666.9330000000009</v>
      </c>
      <c r="I885" s="5"/>
      <c r="J885" s="5">
        <f t="shared" si="211"/>
        <v>9666.9330000000009</v>
      </c>
      <c r="K885" s="5">
        <f t="shared" si="209"/>
        <v>1707.9386925795054</v>
      </c>
      <c r="L885" s="5">
        <f t="shared" si="210"/>
        <v>0.50353359781888818</v>
      </c>
      <c r="M885" s="5">
        <f t="shared" si="212"/>
        <v>0</v>
      </c>
      <c r="N885" s="5">
        <f t="shared" si="213"/>
        <v>6089.1</v>
      </c>
    </row>
    <row r="886" spans="1:14" ht="31.5" x14ac:dyDescent="0.25">
      <c r="A886" s="38">
        <v>14</v>
      </c>
      <c r="B886" s="34" t="s">
        <v>984</v>
      </c>
      <c r="C886" s="18">
        <v>14541000000</v>
      </c>
      <c r="D886" s="32" t="s">
        <v>3049</v>
      </c>
      <c r="E886" s="5">
        <v>4.819</v>
      </c>
      <c r="F886" s="5">
        <v>3.0000000000000001E-3</v>
      </c>
      <c r="G886" s="5">
        <f t="shared" si="203"/>
        <v>4.8220000000000001</v>
      </c>
      <c r="H886" s="5">
        <v>5727.5385499999993</v>
      </c>
      <c r="I886" s="5"/>
      <c r="J886" s="5">
        <f t="shared" si="211"/>
        <v>5727.5385499999993</v>
      </c>
      <c r="K886" s="5">
        <f t="shared" si="209"/>
        <v>1187.7931459975111</v>
      </c>
      <c r="L886" s="5">
        <f t="shared" si="210"/>
        <v>0.35018455806832255</v>
      </c>
      <c r="M886" s="5">
        <f t="shared" si="212"/>
        <v>0</v>
      </c>
      <c r="N886" s="5">
        <f t="shared" si="213"/>
        <v>7194.1</v>
      </c>
    </row>
    <row r="887" spans="1:14" ht="31.5" x14ac:dyDescent="0.25">
      <c r="A887" s="38">
        <v>14</v>
      </c>
      <c r="B887" s="34" t="s">
        <v>984</v>
      </c>
      <c r="C887" s="18">
        <v>14542000000</v>
      </c>
      <c r="D887" s="32" t="s">
        <v>3050</v>
      </c>
      <c r="E887" s="5">
        <v>7.1740000000000004</v>
      </c>
      <c r="F887" s="5">
        <v>3.9E-2</v>
      </c>
      <c r="G887" s="5">
        <f t="shared" si="203"/>
        <v>7.2130000000000001</v>
      </c>
      <c r="H887" s="5">
        <v>27509.392</v>
      </c>
      <c r="I887" s="5"/>
      <c r="J887" s="5">
        <f t="shared" si="211"/>
        <v>27509.392</v>
      </c>
      <c r="K887" s="5">
        <f t="shared" si="209"/>
        <v>3813.8627478164426</v>
      </c>
      <c r="L887" s="5">
        <f t="shared" si="210"/>
        <v>1.1244010334440318</v>
      </c>
      <c r="M887" s="5">
        <f t="shared" si="212"/>
        <v>298.5</v>
      </c>
      <c r="N887" s="5">
        <f t="shared" si="213"/>
        <v>0</v>
      </c>
    </row>
    <row r="888" spans="1:14" ht="15.75" x14ac:dyDescent="0.25">
      <c r="A888" s="38">
        <v>14</v>
      </c>
      <c r="B888" s="34" t="s">
        <v>985</v>
      </c>
      <c r="C888" s="18">
        <v>14543000000</v>
      </c>
      <c r="D888" s="80" t="s">
        <v>2087</v>
      </c>
      <c r="E888" s="86">
        <v>11.983000000000001</v>
      </c>
      <c r="F888" s="86">
        <v>3.1E-2</v>
      </c>
      <c r="G888" s="86">
        <f t="shared" ref="G888:G902" si="214">F888+E888</f>
        <v>12.014000000000001</v>
      </c>
      <c r="H888" s="86">
        <v>27797.136999999999</v>
      </c>
      <c r="I888" s="86"/>
      <c r="J888" s="5">
        <f>H888+I888</f>
        <v>27797.136999999999</v>
      </c>
      <c r="K888" s="5">
        <f t="shared" si="209"/>
        <v>2313.7287331446641</v>
      </c>
      <c r="L888" s="5">
        <f t="shared" si="210"/>
        <v>0.68213230278055648</v>
      </c>
      <c r="M888" s="5">
        <f t="shared" si="212"/>
        <v>0</v>
      </c>
      <c r="N888" s="5">
        <f t="shared" si="213"/>
        <v>7102.5</v>
      </c>
    </row>
    <row r="889" spans="1:14" ht="31.5" x14ac:dyDescent="0.25">
      <c r="A889" s="38">
        <v>14</v>
      </c>
      <c r="B889" s="34" t="s">
        <v>985</v>
      </c>
      <c r="C889" s="18">
        <v>14544000000</v>
      </c>
      <c r="D889" s="80" t="s">
        <v>2088</v>
      </c>
      <c r="E889" s="86">
        <v>16.64</v>
      </c>
      <c r="F889" s="86">
        <v>5.8000000000000003E-2</v>
      </c>
      <c r="G889" s="86">
        <f t="shared" si="214"/>
        <v>16.698</v>
      </c>
      <c r="H889" s="86">
        <v>30543.673999999999</v>
      </c>
      <c r="I889" s="86"/>
      <c r="J889" s="5">
        <f>H889+I889</f>
        <v>30543.673999999999</v>
      </c>
      <c r="K889" s="5">
        <f t="shared" si="209"/>
        <v>1829.1815786321715</v>
      </c>
      <c r="L889" s="5">
        <f t="shared" si="210"/>
        <v>0.53927836248127814</v>
      </c>
      <c r="M889" s="5">
        <f t="shared" si="212"/>
        <v>0</v>
      </c>
      <c r="N889" s="5">
        <f t="shared" si="213"/>
        <v>16344.5</v>
      </c>
    </row>
    <row r="890" spans="1:14" ht="31.5" x14ac:dyDescent="0.25">
      <c r="A890" s="38">
        <v>14</v>
      </c>
      <c r="B890" s="34" t="s">
        <v>985</v>
      </c>
      <c r="C890" s="18">
        <v>14545000000</v>
      </c>
      <c r="D890" s="80" t="s">
        <v>2089</v>
      </c>
      <c r="E890" s="86">
        <v>14.624000000000001</v>
      </c>
      <c r="F890" s="86">
        <v>0.02</v>
      </c>
      <c r="G890" s="86">
        <f t="shared" si="214"/>
        <v>14.644</v>
      </c>
      <c r="H890" s="86">
        <v>38623.176090000008</v>
      </c>
      <c r="I890" s="86">
        <f>(33.2)*0.6</f>
        <v>19.920000000000002</v>
      </c>
      <c r="J890" s="5">
        <f>H890+I890</f>
        <v>38643.096090000006</v>
      </c>
      <c r="K890" s="5">
        <f t="shared" si="209"/>
        <v>2638.8347507511612</v>
      </c>
      <c r="L890" s="5">
        <f t="shared" si="210"/>
        <v>0.77797988995052159</v>
      </c>
      <c r="M890" s="5">
        <f t="shared" si="212"/>
        <v>0</v>
      </c>
      <c r="N890" s="5">
        <f t="shared" si="213"/>
        <v>4848.7</v>
      </c>
    </row>
    <row r="891" spans="1:14" ht="15.75" x14ac:dyDescent="0.25">
      <c r="A891" s="38">
        <v>14</v>
      </c>
      <c r="B891" s="34" t="s">
        <v>984</v>
      </c>
      <c r="C891" s="18">
        <v>14546000000</v>
      </c>
      <c r="D891" s="80" t="s">
        <v>2090</v>
      </c>
      <c r="E891" s="86">
        <v>8.4339999999999993</v>
      </c>
      <c r="F891" s="86">
        <v>1.0999999999999999E-2</v>
      </c>
      <c r="G891" s="86">
        <f t="shared" si="214"/>
        <v>8.4449999999999985</v>
      </c>
      <c r="H891" s="86">
        <v>17576.436209999996</v>
      </c>
      <c r="I891" s="86"/>
      <c r="J891" s="5">
        <f t="shared" si="211"/>
        <v>17576.436209999996</v>
      </c>
      <c r="K891" s="5">
        <f t="shared" si="209"/>
        <v>2081.2831509769094</v>
      </c>
      <c r="L891" s="5">
        <f t="shared" si="210"/>
        <v>0.61360281703580566</v>
      </c>
      <c r="M891" s="5">
        <f t="shared" si="212"/>
        <v>0</v>
      </c>
      <c r="N891" s="5">
        <f t="shared" si="213"/>
        <v>6563</v>
      </c>
    </row>
    <row r="892" spans="1:14" ht="31.5" x14ac:dyDescent="0.25">
      <c r="A892" s="38">
        <v>14</v>
      </c>
      <c r="B892" s="34" t="s">
        <v>984</v>
      </c>
      <c r="C892" s="18">
        <v>14547000000</v>
      </c>
      <c r="D892" s="80" t="s">
        <v>1659</v>
      </c>
      <c r="E892" s="86">
        <v>9.6709999999999994</v>
      </c>
      <c r="F892" s="86">
        <v>6.3E-2</v>
      </c>
      <c r="G892" s="86">
        <f t="shared" si="214"/>
        <v>9.734</v>
      </c>
      <c r="H892" s="86">
        <v>21495.588</v>
      </c>
      <c r="I892" s="86"/>
      <c r="J892" s="5">
        <f t="shared" ref="J892:J902" si="215">H892+I892</f>
        <v>21495.588</v>
      </c>
      <c r="K892" s="5">
        <f t="shared" si="209"/>
        <v>2208.2995685227038</v>
      </c>
      <c r="L892" s="5">
        <f t="shared" si="210"/>
        <v>0.65104973125279408</v>
      </c>
      <c r="M892" s="5">
        <f t="shared" si="212"/>
        <v>0</v>
      </c>
      <c r="N892" s="5">
        <f t="shared" si="213"/>
        <v>6575.6</v>
      </c>
    </row>
    <row r="893" spans="1:14" ht="31.5" x14ac:dyDescent="0.25">
      <c r="A893" s="38">
        <v>14</v>
      </c>
      <c r="B893" s="34" t="s">
        <v>985</v>
      </c>
      <c r="C893" s="18">
        <v>14548000000</v>
      </c>
      <c r="D893" s="80" t="s">
        <v>2091</v>
      </c>
      <c r="E893" s="86">
        <v>23.507999999999999</v>
      </c>
      <c r="F893" s="86">
        <v>3.7999999999999999E-2</v>
      </c>
      <c r="G893" s="86">
        <f t="shared" si="214"/>
        <v>23.545999999999999</v>
      </c>
      <c r="H893" s="86">
        <v>46498.925000000003</v>
      </c>
      <c r="I893" s="86"/>
      <c r="J893" s="5">
        <f t="shared" si="215"/>
        <v>46498.925000000003</v>
      </c>
      <c r="K893" s="5">
        <f t="shared" si="209"/>
        <v>1974.8120699906567</v>
      </c>
      <c r="L893" s="5">
        <f t="shared" si="210"/>
        <v>0.58221306826695263</v>
      </c>
      <c r="M893" s="5">
        <f t="shared" si="212"/>
        <v>0</v>
      </c>
      <c r="N893" s="5">
        <f t="shared" si="213"/>
        <v>20304.3</v>
      </c>
    </row>
    <row r="894" spans="1:14" ht="31.5" x14ac:dyDescent="0.25">
      <c r="A894" s="38">
        <v>14</v>
      </c>
      <c r="B894" s="34" t="s">
        <v>986</v>
      </c>
      <c r="C894" s="18">
        <v>14549000000</v>
      </c>
      <c r="D894" s="80" t="s">
        <v>2092</v>
      </c>
      <c r="E894" s="86">
        <v>476.101</v>
      </c>
      <c r="F894" s="86">
        <v>5.4989999999999997</v>
      </c>
      <c r="G894" s="86">
        <f t="shared" si="214"/>
        <v>481.6</v>
      </c>
      <c r="H894" s="86">
        <v>2084654.0896900001</v>
      </c>
      <c r="I894" s="5">
        <f>(256.4+378.13058+62.5006+1211.297+10.03728)*0.6</f>
        <v>1151.019276</v>
      </c>
      <c r="J894" s="5">
        <f t="shared" si="215"/>
        <v>2085805.1089660001</v>
      </c>
      <c r="K894" s="5">
        <f t="shared" si="209"/>
        <v>4330.9906747632895</v>
      </c>
      <c r="L894" s="5">
        <f t="shared" si="210"/>
        <v>1.2768604201418641</v>
      </c>
      <c r="M894" s="5">
        <f t="shared" si="212"/>
        <v>144454.5</v>
      </c>
      <c r="N894" s="5">
        <f t="shared" si="213"/>
        <v>0</v>
      </c>
    </row>
    <row r="895" spans="1:14" ht="15.75" x14ac:dyDescent="0.25">
      <c r="A895" s="38">
        <v>14</v>
      </c>
      <c r="B895" s="34" t="s">
        <v>983</v>
      </c>
      <c r="C895" s="18">
        <v>14550000000</v>
      </c>
      <c r="D895" s="80" t="s">
        <v>2093</v>
      </c>
      <c r="E895" s="86">
        <v>17.478000000000002</v>
      </c>
      <c r="F895" s="86">
        <v>6.3E-2</v>
      </c>
      <c r="G895" s="86">
        <f t="shared" si="214"/>
        <v>17.541</v>
      </c>
      <c r="H895" s="86">
        <v>46495.776000000005</v>
      </c>
      <c r="I895" s="86"/>
      <c r="J895" s="5">
        <f t="shared" si="215"/>
        <v>46495.776000000005</v>
      </c>
      <c r="K895" s="5">
        <f t="shared" si="209"/>
        <v>2650.6912946810335</v>
      </c>
      <c r="L895" s="5">
        <f t="shared" si="210"/>
        <v>0.78147543007069387</v>
      </c>
      <c r="M895" s="5">
        <f t="shared" si="212"/>
        <v>0</v>
      </c>
      <c r="N895" s="5">
        <f t="shared" si="213"/>
        <v>5641.5</v>
      </c>
    </row>
    <row r="896" spans="1:14" ht="15.75" x14ac:dyDescent="0.25">
      <c r="A896" s="38">
        <v>14</v>
      </c>
      <c r="B896" s="34" t="s">
        <v>986</v>
      </c>
      <c r="C896" s="18">
        <v>14551000000</v>
      </c>
      <c r="D896" s="80" t="s">
        <v>2094</v>
      </c>
      <c r="E896" s="86">
        <v>14.621</v>
      </c>
      <c r="F896" s="86">
        <v>0.39400000000000002</v>
      </c>
      <c r="G896" s="86">
        <f t="shared" si="214"/>
        <v>15.015000000000001</v>
      </c>
      <c r="H896" s="86">
        <v>72223.166530000002</v>
      </c>
      <c r="I896" s="86"/>
      <c r="J896" s="5">
        <f t="shared" si="215"/>
        <v>72223.166530000002</v>
      </c>
      <c r="K896" s="5">
        <f t="shared" si="209"/>
        <v>4810.0677009657011</v>
      </c>
      <c r="L896" s="5">
        <f t="shared" si="210"/>
        <v>1.4181016600553071</v>
      </c>
      <c r="M896" s="5">
        <f t="shared" si="212"/>
        <v>8100.4</v>
      </c>
      <c r="N896" s="5">
        <f t="shared" si="213"/>
        <v>0</v>
      </c>
    </row>
    <row r="897" spans="1:14" ht="31.5" x14ac:dyDescent="0.25">
      <c r="A897" s="38">
        <v>14</v>
      </c>
      <c r="B897" s="34" t="s">
        <v>986</v>
      </c>
      <c r="C897" s="18">
        <v>14552000000</v>
      </c>
      <c r="D897" s="80" t="s">
        <v>2095</v>
      </c>
      <c r="E897" s="86">
        <v>70.326999999999998</v>
      </c>
      <c r="F897" s="86">
        <v>0.40300000000000002</v>
      </c>
      <c r="G897" s="86">
        <f t="shared" si="214"/>
        <v>70.73</v>
      </c>
      <c r="H897" s="86">
        <v>166361.14472000001</v>
      </c>
      <c r="I897" s="86"/>
      <c r="J897" s="5">
        <f t="shared" si="215"/>
        <v>166361.14472000001</v>
      </c>
      <c r="K897" s="5">
        <f t="shared" si="209"/>
        <v>2352.0591647108722</v>
      </c>
      <c r="L897" s="5">
        <f t="shared" si="210"/>
        <v>0.69343286069656318</v>
      </c>
      <c r="M897" s="5">
        <f t="shared" si="212"/>
        <v>0</v>
      </c>
      <c r="N897" s="5">
        <f t="shared" si="213"/>
        <v>39645.9</v>
      </c>
    </row>
    <row r="898" spans="1:14" ht="31.5" x14ac:dyDescent="0.25">
      <c r="A898" s="38">
        <v>14</v>
      </c>
      <c r="B898" s="34" t="s">
        <v>985</v>
      </c>
      <c r="C898" s="18">
        <v>14553000000</v>
      </c>
      <c r="D898" s="80" t="s">
        <v>2096</v>
      </c>
      <c r="E898" s="86">
        <v>9.39</v>
      </c>
      <c r="F898" s="86">
        <v>2.5999999999999999E-2</v>
      </c>
      <c r="G898" s="86">
        <f t="shared" si="214"/>
        <v>9.4160000000000004</v>
      </c>
      <c r="H898" s="86">
        <v>16370.704</v>
      </c>
      <c r="I898" s="86"/>
      <c r="J898" s="5">
        <f t="shared" si="215"/>
        <v>16370.704</v>
      </c>
      <c r="K898" s="5">
        <f t="shared" si="209"/>
        <v>1738.6049277824977</v>
      </c>
      <c r="L898" s="5">
        <f t="shared" si="210"/>
        <v>0.51257460134577804</v>
      </c>
      <c r="M898" s="5">
        <f t="shared" si="212"/>
        <v>0</v>
      </c>
      <c r="N898" s="5">
        <f t="shared" si="213"/>
        <v>9898.9</v>
      </c>
    </row>
    <row r="899" spans="1:14" ht="31.5" x14ac:dyDescent="0.25">
      <c r="A899" s="38">
        <v>14</v>
      </c>
      <c r="B899" s="34" t="s">
        <v>984</v>
      </c>
      <c r="C899" s="18">
        <v>14554000000</v>
      </c>
      <c r="D899" s="80" t="s">
        <v>2097</v>
      </c>
      <c r="E899" s="86">
        <v>5.6740000000000004</v>
      </c>
      <c r="F899" s="86">
        <v>4.0000000000000001E-3</v>
      </c>
      <c r="G899" s="86">
        <f t="shared" si="214"/>
        <v>5.6779999999999999</v>
      </c>
      <c r="H899" s="86">
        <v>7919.0778699999992</v>
      </c>
      <c r="I899" s="86"/>
      <c r="J899" s="5">
        <f t="shared" si="215"/>
        <v>7919.0778699999992</v>
      </c>
      <c r="K899" s="5">
        <f t="shared" si="209"/>
        <v>1394.6949401197603</v>
      </c>
      <c r="L899" s="5">
        <f t="shared" si="210"/>
        <v>0.41118323749528291</v>
      </c>
      <c r="M899" s="5">
        <f t="shared" si="212"/>
        <v>0</v>
      </c>
      <c r="N899" s="5">
        <f t="shared" si="213"/>
        <v>7531.4</v>
      </c>
    </row>
    <row r="900" spans="1:14" ht="31.5" x14ac:dyDescent="0.25">
      <c r="A900" s="38">
        <v>14</v>
      </c>
      <c r="B900" s="34" t="s">
        <v>984</v>
      </c>
      <c r="C900" s="18">
        <v>14555000000</v>
      </c>
      <c r="D900" s="80" t="s">
        <v>2098</v>
      </c>
      <c r="E900" s="86">
        <v>5.7539999999999996</v>
      </c>
      <c r="F900" s="86">
        <v>0.01</v>
      </c>
      <c r="G900" s="86">
        <f t="shared" si="214"/>
        <v>5.7639999999999993</v>
      </c>
      <c r="H900" s="86">
        <v>16442.10758</v>
      </c>
      <c r="I900" s="86"/>
      <c r="J900" s="5">
        <f t="shared" si="215"/>
        <v>16442.10758</v>
      </c>
      <c r="K900" s="5">
        <f t="shared" si="209"/>
        <v>2852.551627342124</v>
      </c>
      <c r="L900" s="5">
        <f t="shared" si="210"/>
        <v>0.8409877884494622</v>
      </c>
      <c r="M900" s="5">
        <f t="shared" si="212"/>
        <v>0</v>
      </c>
      <c r="N900" s="5">
        <f t="shared" si="213"/>
        <v>923</v>
      </c>
    </row>
    <row r="901" spans="1:14" s="24" customFormat="1" ht="15.75" x14ac:dyDescent="0.25">
      <c r="A901" s="38">
        <v>14</v>
      </c>
      <c r="B901" s="34" t="s">
        <v>984</v>
      </c>
      <c r="C901" s="18">
        <v>14556000000</v>
      </c>
      <c r="D901" s="80" t="s">
        <v>2099</v>
      </c>
      <c r="E901" s="71">
        <v>8.8949999999999996</v>
      </c>
      <c r="F901" s="71">
        <v>1.7000000000000001E-2</v>
      </c>
      <c r="G901" s="5">
        <f t="shared" si="214"/>
        <v>8.911999999999999</v>
      </c>
      <c r="H901" s="5">
        <v>24239.893369999998</v>
      </c>
      <c r="I901" s="5"/>
      <c r="J901" s="5">
        <f t="shared" si="215"/>
        <v>24239.893369999998</v>
      </c>
      <c r="K901" s="5">
        <f t="shared" si="209"/>
        <v>2719.9162219479354</v>
      </c>
      <c r="L901" s="5">
        <f t="shared" si="210"/>
        <v>0.80188428715490756</v>
      </c>
      <c r="M901" s="5">
        <f t="shared" si="212"/>
        <v>0</v>
      </c>
      <c r="N901" s="5">
        <f t="shared" si="213"/>
        <v>2372.6999999999998</v>
      </c>
    </row>
    <row r="902" spans="1:14" s="24" customFormat="1" ht="31.5" x14ac:dyDescent="0.25">
      <c r="A902" s="38">
        <v>14</v>
      </c>
      <c r="B902" s="34" t="s">
        <v>986</v>
      </c>
      <c r="C902" s="18">
        <v>14557000000</v>
      </c>
      <c r="D902" s="80" t="s">
        <v>2100</v>
      </c>
      <c r="E902" s="86">
        <v>42.116999999999997</v>
      </c>
      <c r="F902" s="86">
        <v>0.32300000000000001</v>
      </c>
      <c r="G902" s="86">
        <f t="shared" si="214"/>
        <v>42.44</v>
      </c>
      <c r="H902" s="86">
        <v>403988.92971999996</v>
      </c>
      <c r="I902" s="86"/>
      <c r="J902" s="5">
        <f t="shared" si="215"/>
        <v>403988.92971999996</v>
      </c>
      <c r="K902" s="5">
        <f t="shared" si="209"/>
        <v>9519.0605494816209</v>
      </c>
      <c r="L902" s="5">
        <f t="shared" si="210"/>
        <v>2.8064044846347427</v>
      </c>
      <c r="M902" s="5">
        <f t="shared" si="212"/>
        <v>122820.6</v>
      </c>
      <c r="N902" s="5">
        <f t="shared" si="213"/>
        <v>0</v>
      </c>
    </row>
    <row r="903" spans="1:14" s="24" customFormat="1" ht="15.75" x14ac:dyDescent="0.25">
      <c r="A903" s="36">
        <v>15</v>
      </c>
      <c r="B903" s="17" t="s">
        <v>7</v>
      </c>
      <c r="C903" s="17" t="s">
        <v>796</v>
      </c>
      <c r="D903" s="11" t="s">
        <v>17</v>
      </c>
      <c r="E903" s="11">
        <f t="shared" ref="E903:J903" si="216">E904+E905+E913</f>
        <v>2368.107</v>
      </c>
      <c r="F903" s="11">
        <f t="shared" si="216"/>
        <v>38.942999999999998</v>
      </c>
      <c r="G903" s="11">
        <f t="shared" si="216"/>
        <v>2405.5759999999991</v>
      </c>
      <c r="H903" s="11">
        <f t="shared" si="216"/>
        <v>8178089.9743599985</v>
      </c>
      <c r="I903" s="11">
        <f t="shared" si="216"/>
        <v>24160.363176000003</v>
      </c>
      <c r="J903" s="11">
        <f t="shared" si="216"/>
        <v>8202250.3375359988</v>
      </c>
      <c r="K903" s="11">
        <f t="shared" si="209"/>
        <v>3409.6824783486372</v>
      </c>
      <c r="L903" s="11">
        <f t="shared" si="210"/>
        <v>1.0052408164311146</v>
      </c>
      <c r="M903" s="11">
        <f>M904+M905+M913</f>
        <v>652842.1</v>
      </c>
      <c r="N903" s="11">
        <f>N904+N905+N913</f>
        <v>1059611.8000000003</v>
      </c>
    </row>
    <row r="904" spans="1:14" ht="15.75" x14ac:dyDescent="0.25">
      <c r="A904" s="38">
        <v>15</v>
      </c>
      <c r="B904" s="34" t="s">
        <v>6</v>
      </c>
      <c r="C904" s="18" t="s">
        <v>133</v>
      </c>
      <c r="D904" s="32" t="s">
        <v>853</v>
      </c>
      <c r="E904" s="5">
        <v>0</v>
      </c>
      <c r="F904" s="5">
        <v>1.474</v>
      </c>
      <c r="G904" s="5"/>
      <c r="H904" s="5"/>
      <c r="I904" s="5"/>
      <c r="J904" s="5"/>
      <c r="K904" s="5"/>
      <c r="L904" s="5"/>
      <c r="M904" s="5"/>
      <c r="N904" s="5"/>
    </row>
    <row r="905" spans="1:14" ht="15.75" x14ac:dyDescent="0.25">
      <c r="A905" s="37">
        <v>15</v>
      </c>
      <c r="B905" s="19" t="s">
        <v>5</v>
      </c>
      <c r="C905" s="19" t="s">
        <v>797</v>
      </c>
      <c r="D905" s="7" t="s">
        <v>2807</v>
      </c>
      <c r="E905" s="7">
        <f t="shared" ref="E905:J905" si="217">SUM(E906:E912)</f>
        <v>0</v>
      </c>
      <c r="F905" s="7">
        <f t="shared" si="217"/>
        <v>0</v>
      </c>
      <c r="G905" s="7">
        <f t="shared" si="217"/>
        <v>0</v>
      </c>
      <c r="H905" s="7">
        <f t="shared" si="217"/>
        <v>0</v>
      </c>
      <c r="I905" s="7">
        <f t="shared" si="217"/>
        <v>0</v>
      </c>
      <c r="J905" s="7">
        <f t="shared" si="217"/>
        <v>0</v>
      </c>
      <c r="K905" s="7" t="e">
        <f>J905/G905</f>
        <v>#DIV/0!</v>
      </c>
      <c r="L905" s="7" t="e">
        <f>K905/$K$1659</f>
        <v>#DIV/0!</v>
      </c>
      <c r="M905" s="7">
        <f>SUM(M906:M912)</f>
        <v>0</v>
      </c>
      <c r="N905" s="7">
        <f>SUM(N906:N912)</f>
        <v>0</v>
      </c>
    </row>
    <row r="906" spans="1:14" ht="15.75" x14ac:dyDescent="0.25">
      <c r="A906" s="38">
        <v>15</v>
      </c>
      <c r="B906" s="34" t="s">
        <v>4</v>
      </c>
      <c r="C906" s="18" t="s">
        <v>2754</v>
      </c>
      <c r="D906" s="32" t="s">
        <v>2755</v>
      </c>
      <c r="E906" s="76"/>
      <c r="F906" s="76"/>
      <c r="G906" s="5"/>
      <c r="H906" s="5"/>
      <c r="I906" s="5"/>
      <c r="J906" s="5"/>
      <c r="K906" s="5"/>
      <c r="L906" s="5"/>
      <c r="M906" s="5"/>
      <c r="N906" s="5"/>
    </row>
    <row r="907" spans="1:14" ht="15.75" x14ac:dyDescent="0.25">
      <c r="A907" s="38">
        <v>15</v>
      </c>
      <c r="B907" s="34" t="s">
        <v>4</v>
      </c>
      <c r="C907" s="18" t="s">
        <v>134</v>
      </c>
      <c r="D907" s="32" t="s">
        <v>933</v>
      </c>
      <c r="E907" s="76"/>
      <c r="F907" s="76"/>
      <c r="G907" s="5"/>
      <c r="H907" s="5"/>
      <c r="I907" s="5"/>
      <c r="J907" s="5"/>
      <c r="K907" s="5"/>
      <c r="L907" s="5"/>
      <c r="M907" s="5"/>
      <c r="N907" s="5"/>
    </row>
    <row r="908" spans="1:14" ht="15.75" x14ac:dyDescent="0.25">
      <c r="A908" s="38">
        <v>15</v>
      </c>
      <c r="B908" s="34" t="s">
        <v>4</v>
      </c>
      <c r="C908" s="18" t="s">
        <v>135</v>
      </c>
      <c r="D908" s="32" t="s">
        <v>934</v>
      </c>
      <c r="E908" s="76"/>
      <c r="F908" s="76"/>
      <c r="G908" s="5"/>
      <c r="H908" s="5"/>
      <c r="I908" s="5"/>
      <c r="J908" s="5"/>
      <c r="K908" s="5"/>
      <c r="L908" s="5"/>
      <c r="M908" s="5"/>
      <c r="N908" s="5"/>
    </row>
    <row r="909" spans="1:14" ht="15.75" x14ac:dyDescent="0.25">
      <c r="A909" s="38">
        <v>15</v>
      </c>
      <c r="B909" s="34" t="s">
        <v>4</v>
      </c>
      <c r="C909" s="18" t="s">
        <v>136</v>
      </c>
      <c r="D909" s="32" t="s">
        <v>935</v>
      </c>
      <c r="E909" s="76"/>
      <c r="F909" s="76"/>
      <c r="G909" s="5"/>
      <c r="H909" s="5"/>
      <c r="I909" s="5"/>
      <c r="J909" s="5"/>
      <c r="K909" s="5"/>
      <c r="L909" s="5"/>
      <c r="M909" s="5"/>
      <c r="N909" s="5"/>
    </row>
    <row r="910" spans="1:14" s="13" customFormat="1" ht="15.75" x14ac:dyDescent="0.25">
      <c r="A910" s="38">
        <v>15</v>
      </c>
      <c r="B910" s="34" t="s">
        <v>4</v>
      </c>
      <c r="C910" s="18">
        <v>15314200000</v>
      </c>
      <c r="D910" s="32" t="s">
        <v>2101</v>
      </c>
      <c r="E910" s="76"/>
      <c r="F910" s="76"/>
      <c r="G910" s="5"/>
      <c r="H910" s="5"/>
      <c r="I910" s="5"/>
      <c r="J910" s="5"/>
      <c r="K910" s="5"/>
      <c r="L910" s="5"/>
      <c r="M910" s="5"/>
      <c r="N910" s="5"/>
    </row>
    <row r="911" spans="1:14" s="13" customFormat="1" ht="15.75" x14ac:dyDescent="0.25">
      <c r="A911" s="38">
        <v>15</v>
      </c>
      <c r="B911" s="34" t="s">
        <v>4</v>
      </c>
      <c r="C911" s="18" t="s">
        <v>137</v>
      </c>
      <c r="D911" s="32" t="s">
        <v>936</v>
      </c>
      <c r="E911" s="76"/>
      <c r="F911" s="76"/>
      <c r="G911" s="5"/>
      <c r="H911" s="5"/>
      <c r="I911" s="5"/>
      <c r="J911" s="5"/>
      <c r="K911" s="5"/>
      <c r="L911" s="5"/>
      <c r="M911" s="5"/>
      <c r="N911" s="5"/>
    </row>
    <row r="912" spans="1:14" s="13" customFormat="1" ht="15.75" x14ac:dyDescent="0.25">
      <c r="A912" s="38">
        <v>15</v>
      </c>
      <c r="B912" s="34" t="s">
        <v>4</v>
      </c>
      <c r="C912" s="18">
        <v>15327200000</v>
      </c>
      <c r="D912" s="32" t="s">
        <v>2102</v>
      </c>
      <c r="E912" s="76"/>
      <c r="F912" s="76"/>
      <c r="G912" s="5"/>
      <c r="H912" s="5"/>
      <c r="I912" s="5"/>
      <c r="J912" s="5"/>
      <c r="K912" s="5"/>
      <c r="L912" s="5"/>
      <c r="M912" s="5"/>
      <c r="N912" s="5"/>
    </row>
    <row r="913" spans="1:14" s="13" customFormat="1" ht="31.5" x14ac:dyDescent="0.25">
      <c r="A913" s="37">
        <v>15</v>
      </c>
      <c r="B913" s="19" t="s">
        <v>28</v>
      </c>
      <c r="C913" s="19" t="s">
        <v>798</v>
      </c>
      <c r="D913" s="20" t="s">
        <v>2781</v>
      </c>
      <c r="E913" s="7">
        <f t="shared" ref="E913:J913" si="218">SUM(E914:E1004)</f>
        <v>2368.107</v>
      </c>
      <c r="F913" s="7">
        <f t="shared" si="218"/>
        <v>37.469000000000001</v>
      </c>
      <c r="G913" s="7">
        <f t="shared" si="218"/>
        <v>2405.5759999999991</v>
      </c>
      <c r="H913" s="7">
        <f t="shared" si="218"/>
        <v>8178089.9743599985</v>
      </c>
      <c r="I913" s="7">
        <f t="shared" si="218"/>
        <v>24160.363176000003</v>
      </c>
      <c r="J913" s="7">
        <f t="shared" si="218"/>
        <v>8202250.3375359988</v>
      </c>
      <c r="K913" s="7">
        <f t="shared" ref="K913:K942" si="219">J913/G913</f>
        <v>3409.6824783486372</v>
      </c>
      <c r="L913" s="7">
        <f t="shared" ref="L913:L944" si="220">K913/$K$1659</f>
        <v>1.0052408164311146</v>
      </c>
      <c r="M913" s="7">
        <f>SUM(M914:M1004)</f>
        <v>652842.1</v>
      </c>
      <c r="N913" s="7">
        <f>SUM(N914:N1004)</f>
        <v>1059611.8000000003</v>
      </c>
    </row>
    <row r="914" spans="1:14" s="13" customFormat="1" ht="15.75" x14ac:dyDescent="0.25">
      <c r="A914" s="38">
        <v>15</v>
      </c>
      <c r="B914" s="34" t="s">
        <v>986</v>
      </c>
      <c r="C914" s="18">
        <v>15501000000</v>
      </c>
      <c r="D914" s="32" t="s">
        <v>3051</v>
      </c>
      <c r="E914" s="76">
        <v>33.74</v>
      </c>
      <c r="F914" s="76">
        <v>0.17100000000000001</v>
      </c>
      <c r="G914" s="5">
        <f t="shared" ref="G914:G951" si="221">F914+E914</f>
        <v>33.911000000000001</v>
      </c>
      <c r="H914" s="5">
        <v>86905.530199999994</v>
      </c>
      <c r="I914" s="5"/>
      <c r="J914" s="5">
        <f t="shared" ref="J914:J950" si="222">H914+I914</f>
        <v>86905.530199999994</v>
      </c>
      <c r="K914" s="5">
        <f t="shared" si="219"/>
        <v>2562.7533897555363</v>
      </c>
      <c r="L914" s="5">
        <f t="shared" si="220"/>
        <v>0.75554962263733971</v>
      </c>
      <c r="M914" s="5">
        <f t="shared" ref="M914:M945" si="223">ROUND(IF(L914&lt;110%,0,(K914-$K$1659*1.1)*0.5)*G914,1)</f>
        <v>0</v>
      </c>
      <c r="N914" s="5">
        <f t="shared" ref="N914:N945" si="224">ROUND(IF(L914&gt;90%,0,(-K914+$K$1659*0.9)*0.8)*G914,1)</f>
        <v>13292.1</v>
      </c>
    </row>
    <row r="915" spans="1:14" s="13" customFormat="1" ht="15.75" x14ac:dyDescent="0.25">
      <c r="A915" s="38">
        <v>15</v>
      </c>
      <c r="B915" s="34" t="s">
        <v>986</v>
      </c>
      <c r="C915" s="18">
        <v>15502000000</v>
      </c>
      <c r="D915" s="32" t="s">
        <v>3052</v>
      </c>
      <c r="E915" s="76">
        <v>22.632000000000001</v>
      </c>
      <c r="F915" s="76">
        <v>9.8000000000000004E-2</v>
      </c>
      <c r="G915" s="5">
        <f t="shared" si="221"/>
        <v>22.73</v>
      </c>
      <c r="H915" s="5">
        <v>62714.740460000001</v>
      </c>
      <c r="I915" s="5"/>
      <c r="J915" s="5">
        <f t="shared" si="222"/>
        <v>62714.740460000001</v>
      </c>
      <c r="K915" s="5">
        <f t="shared" si="219"/>
        <v>2759.117486141663</v>
      </c>
      <c r="L915" s="5">
        <f t="shared" si="220"/>
        <v>0.81344158349363294</v>
      </c>
      <c r="M915" s="5">
        <f t="shared" si="223"/>
        <v>0</v>
      </c>
      <c r="N915" s="5">
        <f t="shared" si="224"/>
        <v>5338.8</v>
      </c>
    </row>
    <row r="916" spans="1:14" s="13" customFormat="1" ht="31.5" x14ac:dyDescent="0.25">
      <c r="A916" s="38">
        <v>15</v>
      </c>
      <c r="B916" s="34" t="s">
        <v>985</v>
      </c>
      <c r="C916" s="18" t="s">
        <v>138</v>
      </c>
      <c r="D916" s="32" t="s">
        <v>2105</v>
      </c>
      <c r="E916" s="76">
        <v>13.48</v>
      </c>
      <c r="F916" s="76">
        <v>4.0000000000000001E-3</v>
      </c>
      <c r="G916" s="5">
        <f t="shared" si="221"/>
        <v>13.484</v>
      </c>
      <c r="H916" s="5">
        <v>28957.17211</v>
      </c>
      <c r="I916" s="5"/>
      <c r="J916" s="5">
        <f t="shared" si="222"/>
        <v>28957.17211</v>
      </c>
      <c r="K916" s="5">
        <f t="shared" si="219"/>
        <v>2147.5209218332839</v>
      </c>
      <c r="L916" s="5">
        <f t="shared" si="220"/>
        <v>0.63313100221933838</v>
      </c>
      <c r="M916" s="5">
        <f t="shared" si="223"/>
        <v>0</v>
      </c>
      <c r="N916" s="5">
        <f t="shared" si="224"/>
        <v>9764.5</v>
      </c>
    </row>
    <row r="917" spans="1:14" s="13" customFormat="1" ht="31.5" x14ac:dyDescent="0.25">
      <c r="A917" s="38">
        <v>15</v>
      </c>
      <c r="B917" s="34" t="s">
        <v>984</v>
      </c>
      <c r="C917" s="18" t="s">
        <v>139</v>
      </c>
      <c r="D917" s="32" t="s">
        <v>2106</v>
      </c>
      <c r="E917" s="76">
        <v>12.79</v>
      </c>
      <c r="F917" s="76">
        <v>0.124</v>
      </c>
      <c r="G917" s="5">
        <f t="shared" si="221"/>
        <v>12.914</v>
      </c>
      <c r="H917" s="5">
        <v>45362.705869999998</v>
      </c>
      <c r="I917" s="5"/>
      <c r="J917" s="5">
        <f t="shared" si="222"/>
        <v>45362.705869999998</v>
      </c>
      <c r="K917" s="5">
        <f t="shared" si="219"/>
        <v>3512.6766199473441</v>
      </c>
      <c r="L917" s="5">
        <f t="shared" si="220"/>
        <v>1.0356054957365171</v>
      </c>
      <c r="M917" s="5">
        <f t="shared" si="223"/>
        <v>0</v>
      </c>
      <c r="N917" s="5">
        <f t="shared" si="224"/>
        <v>0</v>
      </c>
    </row>
    <row r="918" spans="1:14" s="13" customFormat="1" ht="31.5" x14ac:dyDescent="0.25">
      <c r="A918" s="38">
        <v>15</v>
      </c>
      <c r="B918" s="34" t="s">
        <v>984</v>
      </c>
      <c r="C918" s="18" t="s">
        <v>140</v>
      </c>
      <c r="D918" s="32" t="s">
        <v>2107</v>
      </c>
      <c r="E918" s="76">
        <v>6.6470000000000002</v>
      </c>
      <c r="F918" s="76">
        <v>1.7000000000000001E-2</v>
      </c>
      <c r="G918" s="5">
        <f t="shared" si="221"/>
        <v>6.6640000000000006</v>
      </c>
      <c r="H918" s="5">
        <v>7324.2524199999998</v>
      </c>
      <c r="I918" s="5"/>
      <c r="J918" s="5">
        <f t="shared" si="222"/>
        <v>7324.2524199999998</v>
      </c>
      <c r="K918" s="5">
        <f t="shared" si="219"/>
        <v>1099.0774939975988</v>
      </c>
      <c r="L918" s="5">
        <f t="shared" si="220"/>
        <v>0.32402945564664426</v>
      </c>
      <c r="M918" s="5">
        <f t="shared" si="223"/>
        <v>0</v>
      </c>
      <c r="N918" s="5">
        <f t="shared" si="224"/>
        <v>10415.200000000001</v>
      </c>
    </row>
    <row r="919" spans="1:14" s="13" customFormat="1" ht="31.5" x14ac:dyDescent="0.25">
      <c r="A919" s="38">
        <v>15</v>
      </c>
      <c r="B919" s="34" t="s">
        <v>984</v>
      </c>
      <c r="C919" s="18" t="s">
        <v>141</v>
      </c>
      <c r="D919" s="32" t="s">
        <v>2108</v>
      </c>
      <c r="E919" s="76">
        <v>4.0919999999999996</v>
      </c>
      <c r="F919" s="76">
        <v>3.0000000000000001E-3</v>
      </c>
      <c r="G919" s="5">
        <f t="shared" si="221"/>
        <v>4.0949999999999998</v>
      </c>
      <c r="H919" s="5">
        <v>6022.3257899999999</v>
      </c>
      <c r="I919" s="5"/>
      <c r="J919" s="5">
        <f t="shared" si="222"/>
        <v>6022.3257899999999</v>
      </c>
      <c r="K919" s="5">
        <f t="shared" si="219"/>
        <v>1470.6534285714285</v>
      </c>
      <c r="L919" s="5">
        <f t="shared" si="220"/>
        <v>0.43357727958890596</v>
      </c>
      <c r="M919" s="5">
        <f t="shared" si="223"/>
        <v>0</v>
      </c>
      <c r="N919" s="5">
        <f t="shared" si="224"/>
        <v>5182.8</v>
      </c>
    </row>
    <row r="920" spans="1:14" s="13" customFormat="1" ht="15.75" x14ac:dyDescent="0.25">
      <c r="A920" s="38">
        <v>15</v>
      </c>
      <c r="B920" s="34" t="s">
        <v>984</v>
      </c>
      <c r="C920" s="18" t="s">
        <v>142</v>
      </c>
      <c r="D920" s="32" t="s">
        <v>2109</v>
      </c>
      <c r="E920" s="76">
        <v>3.5030000000000001</v>
      </c>
      <c r="F920" s="76">
        <v>7.0000000000000001E-3</v>
      </c>
      <c r="G920" s="5">
        <f t="shared" si="221"/>
        <v>3.5100000000000002</v>
      </c>
      <c r="H920" s="5">
        <v>4950.91374</v>
      </c>
      <c r="I920" s="5"/>
      <c r="J920" s="5">
        <f t="shared" si="222"/>
        <v>4950.91374</v>
      </c>
      <c r="K920" s="5">
        <f t="shared" si="219"/>
        <v>1410.516735042735</v>
      </c>
      <c r="L920" s="5">
        <f t="shared" si="220"/>
        <v>0.41584781085270578</v>
      </c>
      <c r="M920" s="5">
        <f t="shared" si="223"/>
        <v>0</v>
      </c>
      <c r="N920" s="5">
        <f t="shared" si="224"/>
        <v>4611.3</v>
      </c>
    </row>
    <row r="921" spans="1:14" s="13" customFormat="1" ht="31.5" x14ac:dyDescent="0.25">
      <c r="A921" s="38">
        <v>15</v>
      </c>
      <c r="B921" s="34" t="s">
        <v>984</v>
      </c>
      <c r="C921" s="18" t="s">
        <v>143</v>
      </c>
      <c r="D921" s="32" t="s">
        <v>2110</v>
      </c>
      <c r="E921" s="76">
        <v>4.0010000000000003</v>
      </c>
      <c r="F921" s="76">
        <v>1.0999999999999999E-2</v>
      </c>
      <c r="G921" s="5">
        <f t="shared" si="221"/>
        <v>4.0120000000000005</v>
      </c>
      <c r="H921" s="5">
        <v>8946.2458200000001</v>
      </c>
      <c r="I921" s="5"/>
      <c r="J921" s="5">
        <f t="shared" si="222"/>
        <v>8946.2458200000001</v>
      </c>
      <c r="K921" s="5">
        <f t="shared" si="219"/>
        <v>2229.8718394815551</v>
      </c>
      <c r="L921" s="5">
        <f t="shared" si="220"/>
        <v>0.65740965696688913</v>
      </c>
      <c r="M921" s="5">
        <f t="shared" si="223"/>
        <v>0</v>
      </c>
      <c r="N921" s="5">
        <f t="shared" si="224"/>
        <v>2641</v>
      </c>
    </row>
    <row r="922" spans="1:14" s="13" customFormat="1" ht="31.5" x14ac:dyDescent="0.25">
      <c r="A922" s="38">
        <v>15</v>
      </c>
      <c r="B922" s="34" t="s">
        <v>985</v>
      </c>
      <c r="C922" s="18" t="s">
        <v>401</v>
      </c>
      <c r="D922" s="32" t="s">
        <v>2111</v>
      </c>
      <c r="E922" s="76">
        <v>6.5389999999999997</v>
      </c>
      <c r="F922" s="76">
        <v>1.2E-2</v>
      </c>
      <c r="G922" s="5">
        <f t="shared" si="221"/>
        <v>6.5509999999999993</v>
      </c>
      <c r="H922" s="5">
        <v>6043.2465899999997</v>
      </c>
      <c r="I922" s="5"/>
      <c r="J922" s="5">
        <f t="shared" si="222"/>
        <v>6043.2465899999997</v>
      </c>
      <c r="K922" s="5">
        <f t="shared" si="219"/>
        <v>922.49222866737909</v>
      </c>
      <c r="L922" s="5">
        <f t="shared" si="220"/>
        <v>0.27196867948421805</v>
      </c>
      <c r="M922" s="5">
        <f t="shared" si="223"/>
        <v>0</v>
      </c>
      <c r="N922" s="5">
        <f t="shared" si="224"/>
        <v>11164.1</v>
      </c>
    </row>
    <row r="923" spans="1:14" s="13" customFormat="1" ht="31.5" x14ac:dyDescent="0.25">
      <c r="A923" s="38">
        <v>15</v>
      </c>
      <c r="B923" s="34" t="s">
        <v>985</v>
      </c>
      <c r="C923" s="18" t="s">
        <v>402</v>
      </c>
      <c r="D923" s="32" t="s">
        <v>2112</v>
      </c>
      <c r="E923" s="76">
        <v>9.8610000000000007</v>
      </c>
      <c r="F923" s="76">
        <v>1.6E-2</v>
      </c>
      <c r="G923" s="5">
        <f t="shared" si="221"/>
        <v>9.8770000000000007</v>
      </c>
      <c r="H923" s="5">
        <v>24021.406609999998</v>
      </c>
      <c r="I923" s="5"/>
      <c r="J923" s="5">
        <f t="shared" si="222"/>
        <v>24021.406609999998</v>
      </c>
      <c r="K923" s="5">
        <f t="shared" si="219"/>
        <v>2432.0549367216763</v>
      </c>
      <c r="L923" s="5">
        <f t="shared" si="220"/>
        <v>0.71701717263112319</v>
      </c>
      <c r="M923" s="5">
        <f t="shared" si="223"/>
        <v>0</v>
      </c>
      <c r="N923" s="5">
        <f t="shared" si="224"/>
        <v>4904.2</v>
      </c>
    </row>
    <row r="924" spans="1:14" s="13" customFormat="1" ht="31.5" x14ac:dyDescent="0.25">
      <c r="A924" s="38">
        <v>15</v>
      </c>
      <c r="B924" s="34" t="s">
        <v>984</v>
      </c>
      <c r="C924" s="18" t="s">
        <v>403</v>
      </c>
      <c r="D924" s="32" t="s">
        <v>2113</v>
      </c>
      <c r="E924" s="76">
        <v>6.3390000000000004</v>
      </c>
      <c r="F924" s="76">
        <v>8.0000000000000002E-3</v>
      </c>
      <c r="G924" s="5">
        <f t="shared" si="221"/>
        <v>6.3470000000000004</v>
      </c>
      <c r="H924" s="5">
        <v>13292.661339999999</v>
      </c>
      <c r="I924" s="5"/>
      <c r="J924" s="5">
        <f t="shared" si="222"/>
        <v>13292.661339999999</v>
      </c>
      <c r="K924" s="5">
        <f t="shared" si="219"/>
        <v>2094.3219379234279</v>
      </c>
      <c r="L924" s="5">
        <f t="shared" si="220"/>
        <v>0.61744690542779512</v>
      </c>
      <c r="M924" s="5">
        <f t="shared" si="223"/>
        <v>0</v>
      </c>
      <c r="N924" s="5">
        <f t="shared" si="224"/>
        <v>4866.3</v>
      </c>
    </row>
    <row r="925" spans="1:14" s="13" customFormat="1" ht="15.75" x14ac:dyDescent="0.25">
      <c r="A925" s="38">
        <v>15</v>
      </c>
      <c r="B925" s="34" t="s">
        <v>984</v>
      </c>
      <c r="C925" s="18" t="s">
        <v>491</v>
      </c>
      <c r="D925" s="32" t="s">
        <v>2114</v>
      </c>
      <c r="E925" s="76">
        <v>8.5310000000000006</v>
      </c>
      <c r="F925" s="76">
        <v>1.7999999999999999E-2</v>
      </c>
      <c r="G925" s="5">
        <f t="shared" si="221"/>
        <v>8.5490000000000013</v>
      </c>
      <c r="H925" s="5">
        <v>7566.8382300000003</v>
      </c>
      <c r="I925" s="5"/>
      <c r="J925" s="5">
        <f t="shared" si="222"/>
        <v>7566.8382300000003</v>
      </c>
      <c r="K925" s="5">
        <f t="shared" si="219"/>
        <v>885.11384138495725</v>
      </c>
      <c r="L925" s="5">
        <f t="shared" si="220"/>
        <v>0.26094880276922905</v>
      </c>
      <c r="M925" s="5">
        <f t="shared" si="223"/>
        <v>0</v>
      </c>
      <c r="N925" s="5">
        <f t="shared" si="224"/>
        <v>14824.7</v>
      </c>
    </row>
    <row r="926" spans="1:14" s="13" customFormat="1" ht="31.5" x14ac:dyDescent="0.25">
      <c r="A926" s="38">
        <v>15</v>
      </c>
      <c r="B926" s="34" t="s">
        <v>984</v>
      </c>
      <c r="C926" s="18" t="s">
        <v>587</v>
      </c>
      <c r="D926" s="32" t="s">
        <v>2115</v>
      </c>
      <c r="E926" s="76">
        <v>21.683</v>
      </c>
      <c r="F926" s="76">
        <v>5.3999999999999999E-2</v>
      </c>
      <c r="G926" s="5">
        <f t="shared" si="221"/>
        <v>21.736999999999998</v>
      </c>
      <c r="H926" s="5">
        <v>37469.300000000003</v>
      </c>
      <c r="I926" s="5"/>
      <c r="J926" s="5">
        <f t="shared" si="222"/>
        <v>37469.300000000003</v>
      </c>
      <c r="K926" s="5">
        <f t="shared" si="219"/>
        <v>1723.7567281593599</v>
      </c>
      <c r="L926" s="5">
        <f t="shared" si="220"/>
        <v>0.5081970628487259</v>
      </c>
      <c r="M926" s="5">
        <f t="shared" si="223"/>
        <v>0</v>
      </c>
      <c r="N926" s="5">
        <f t="shared" si="224"/>
        <v>23110.1</v>
      </c>
    </row>
    <row r="927" spans="1:14" s="13" customFormat="1" ht="15.75" x14ac:dyDescent="0.25">
      <c r="A927" s="38">
        <v>15</v>
      </c>
      <c r="B927" s="34" t="s">
        <v>983</v>
      </c>
      <c r="C927" s="18" t="s">
        <v>588</v>
      </c>
      <c r="D927" s="32" t="s">
        <v>2116</v>
      </c>
      <c r="E927" s="76">
        <v>16.530999999999999</v>
      </c>
      <c r="F927" s="76">
        <v>5.3999999999999999E-2</v>
      </c>
      <c r="G927" s="5">
        <f t="shared" si="221"/>
        <v>16.584999999999997</v>
      </c>
      <c r="H927" s="5">
        <v>39743.848450000005</v>
      </c>
      <c r="I927" s="5"/>
      <c r="J927" s="5">
        <f t="shared" si="222"/>
        <v>39743.848450000005</v>
      </c>
      <c r="K927" s="5">
        <f t="shared" si="219"/>
        <v>2396.3731353632807</v>
      </c>
      <c r="L927" s="5">
        <f t="shared" si="220"/>
        <v>0.70649748249662769</v>
      </c>
      <c r="M927" s="5">
        <f t="shared" si="223"/>
        <v>0</v>
      </c>
      <c r="N927" s="5">
        <f t="shared" si="224"/>
        <v>8708.4</v>
      </c>
    </row>
    <row r="928" spans="1:14" s="13" customFormat="1" ht="31.5" x14ac:dyDescent="0.25">
      <c r="A928" s="38">
        <v>15</v>
      </c>
      <c r="B928" s="34" t="s">
        <v>984</v>
      </c>
      <c r="C928" s="18" t="s">
        <v>589</v>
      </c>
      <c r="D928" s="32" t="s">
        <v>2117</v>
      </c>
      <c r="E928" s="76">
        <v>18.308</v>
      </c>
      <c r="F928" s="76">
        <v>2.8000000000000001E-2</v>
      </c>
      <c r="G928" s="5">
        <f t="shared" si="221"/>
        <v>18.335999999999999</v>
      </c>
      <c r="H928" s="5">
        <v>24836.608769999995</v>
      </c>
      <c r="I928" s="5"/>
      <c r="J928" s="5">
        <f t="shared" si="222"/>
        <v>24836.608769999995</v>
      </c>
      <c r="K928" s="5">
        <f t="shared" si="219"/>
        <v>1354.5270926047119</v>
      </c>
      <c r="L928" s="5">
        <f t="shared" si="220"/>
        <v>0.39934097356404913</v>
      </c>
      <c r="M928" s="5">
        <f t="shared" si="223"/>
        <v>0</v>
      </c>
      <c r="N928" s="5">
        <f t="shared" si="224"/>
        <v>24910.400000000001</v>
      </c>
    </row>
    <row r="929" spans="1:14" s="13" customFormat="1" ht="15.75" x14ac:dyDescent="0.25">
      <c r="A929" s="38">
        <v>15</v>
      </c>
      <c r="B929" s="34" t="s">
        <v>984</v>
      </c>
      <c r="C929" s="18" t="s">
        <v>590</v>
      </c>
      <c r="D929" s="32" t="s">
        <v>2118</v>
      </c>
      <c r="E929" s="76">
        <v>14.928000000000001</v>
      </c>
      <c r="F929" s="76">
        <v>0.08</v>
      </c>
      <c r="G929" s="5">
        <f t="shared" si="221"/>
        <v>15.008000000000001</v>
      </c>
      <c r="H929" s="5">
        <v>39364.209370000004</v>
      </c>
      <c r="I929" s="5"/>
      <c r="J929" s="5">
        <f t="shared" si="222"/>
        <v>39364.209370000004</v>
      </c>
      <c r="K929" s="5">
        <f t="shared" si="219"/>
        <v>2622.8817543976547</v>
      </c>
      <c r="L929" s="5">
        <f t="shared" si="220"/>
        <v>0.77327663585552786</v>
      </c>
      <c r="M929" s="5">
        <f t="shared" si="223"/>
        <v>0</v>
      </c>
      <c r="N929" s="5">
        <f t="shared" si="224"/>
        <v>5160.8</v>
      </c>
    </row>
    <row r="930" spans="1:14" s="13" customFormat="1" ht="15.75" x14ac:dyDescent="0.25">
      <c r="A930" s="38">
        <v>15</v>
      </c>
      <c r="B930" s="34" t="s">
        <v>983</v>
      </c>
      <c r="C930" s="18" t="s">
        <v>591</v>
      </c>
      <c r="D930" s="32" t="s">
        <v>2119</v>
      </c>
      <c r="E930" s="76">
        <v>12.762</v>
      </c>
      <c r="F930" s="76">
        <v>2.5999999999999999E-2</v>
      </c>
      <c r="G930" s="5">
        <f t="shared" si="221"/>
        <v>12.788</v>
      </c>
      <c r="H930" s="5">
        <v>17963.480609999999</v>
      </c>
      <c r="I930" s="5"/>
      <c r="J930" s="5">
        <f t="shared" si="222"/>
        <v>17963.480609999999</v>
      </c>
      <c r="K930" s="5">
        <f t="shared" si="219"/>
        <v>1404.7138418830152</v>
      </c>
      <c r="L930" s="5">
        <f t="shared" si="220"/>
        <v>0.41413700490682065</v>
      </c>
      <c r="M930" s="5">
        <f t="shared" si="223"/>
        <v>0</v>
      </c>
      <c r="N930" s="5">
        <f t="shared" si="224"/>
        <v>16859.7</v>
      </c>
    </row>
    <row r="931" spans="1:14" s="13" customFormat="1" ht="31.5" x14ac:dyDescent="0.25">
      <c r="A931" s="38">
        <v>15</v>
      </c>
      <c r="B931" s="34" t="s">
        <v>985</v>
      </c>
      <c r="C931" s="18" t="s">
        <v>592</v>
      </c>
      <c r="D931" s="32" t="s">
        <v>3053</v>
      </c>
      <c r="E931" s="76">
        <v>19.597999999999999</v>
      </c>
      <c r="F931" s="76">
        <v>0.58299999999999996</v>
      </c>
      <c r="G931" s="5">
        <f t="shared" si="221"/>
        <v>20.180999999999997</v>
      </c>
      <c r="H931" s="5">
        <v>92852.379300000001</v>
      </c>
      <c r="I931" s="5"/>
      <c r="J931" s="5">
        <f t="shared" si="222"/>
        <v>92852.379300000001</v>
      </c>
      <c r="K931" s="5">
        <f t="shared" si="219"/>
        <v>4600.9800951389925</v>
      </c>
      <c r="L931" s="5">
        <f t="shared" si="220"/>
        <v>1.3564585607574913</v>
      </c>
      <c r="M931" s="5">
        <f t="shared" si="223"/>
        <v>8777.6</v>
      </c>
      <c r="N931" s="5">
        <f t="shared" si="224"/>
        <v>0</v>
      </c>
    </row>
    <row r="932" spans="1:14" s="13" customFormat="1" ht="31.5" x14ac:dyDescent="0.25">
      <c r="A932" s="38">
        <v>15</v>
      </c>
      <c r="B932" s="34" t="s">
        <v>984</v>
      </c>
      <c r="C932" s="18" t="s">
        <v>593</v>
      </c>
      <c r="D932" s="32" t="s">
        <v>2121</v>
      </c>
      <c r="E932" s="76">
        <v>14.185</v>
      </c>
      <c r="F932" s="76">
        <v>9.8000000000000004E-2</v>
      </c>
      <c r="G932" s="5">
        <f t="shared" si="221"/>
        <v>14.283000000000001</v>
      </c>
      <c r="H932" s="5">
        <v>13694.52814</v>
      </c>
      <c r="I932" s="5"/>
      <c r="J932" s="5">
        <f t="shared" si="222"/>
        <v>13694.52814</v>
      </c>
      <c r="K932" s="5">
        <f t="shared" si="219"/>
        <v>958.79914163691092</v>
      </c>
      <c r="L932" s="5">
        <f t="shared" si="220"/>
        <v>0.2826726646990706</v>
      </c>
      <c r="M932" s="5">
        <f t="shared" si="223"/>
        <v>0</v>
      </c>
      <c r="N932" s="5">
        <f t="shared" si="224"/>
        <v>23925.9</v>
      </c>
    </row>
    <row r="933" spans="1:14" s="13" customFormat="1" ht="15.75" x14ac:dyDescent="0.25">
      <c r="A933" s="38">
        <v>15</v>
      </c>
      <c r="B933" s="34" t="s">
        <v>984</v>
      </c>
      <c r="C933" s="18" t="s">
        <v>594</v>
      </c>
      <c r="D933" s="32" t="s">
        <v>2122</v>
      </c>
      <c r="E933" s="76">
        <v>4.577</v>
      </c>
      <c r="F933" s="76">
        <v>7.0000000000000001E-3</v>
      </c>
      <c r="G933" s="5">
        <f t="shared" si="221"/>
        <v>4.5839999999999996</v>
      </c>
      <c r="H933" s="5">
        <v>4921.4292999999998</v>
      </c>
      <c r="I933" s="5"/>
      <c r="J933" s="5">
        <f t="shared" si="222"/>
        <v>4921.4292999999998</v>
      </c>
      <c r="K933" s="5">
        <f t="shared" si="219"/>
        <v>1073.6102312390926</v>
      </c>
      <c r="L933" s="5">
        <f t="shared" si="220"/>
        <v>0.31652121047420073</v>
      </c>
      <c r="M933" s="5">
        <f t="shared" si="223"/>
        <v>0</v>
      </c>
      <c r="N933" s="5">
        <f t="shared" si="224"/>
        <v>7257.8</v>
      </c>
    </row>
    <row r="934" spans="1:14" s="13" customFormat="1" ht="15.75" x14ac:dyDescent="0.25">
      <c r="A934" s="38">
        <v>15</v>
      </c>
      <c r="B934" s="34" t="s">
        <v>984</v>
      </c>
      <c r="C934" s="18" t="s">
        <v>595</v>
      </c>
      <c r="D934" s="32" t="s">
        <v>2123</v>
      </c>
      <c r="E934" s="76">
        <v>12.329000000000001</v>
      </c>
      <c r="F934" s="76">
        <v>5.2999999999999999E-2</v>
      </c>
      <c r="G934" s="5">
        <f t="shared" si="221"/>
        <v>12.382000000000001</v>
      </c>
      <c r="H934" s="5">
        <v>22973.18404</v>
      </c>
      <c r="I934" s="5"/>
      <c r="J934" s="5">
        <f t="shared" si="222"/>
        <v>22973.18404</v>
      </c>
      <c r="K934" s="5">
        <f t="shared" si="219"/>
        <v>1855.3694104345016</v>
      </c>
      <c r="L934" s="5">
        <f t="shared" si="220"/>
        <v>0.5469990454447794</v>
      </c>
      <c r="M934" s="5">
        <f t="shared" si="223"/>
        <v>0</v>
      </c>
      <c r="N934" s="5">
        <f t="shared" si="224"/>
        <v>11860.4</v>
      </c>
    </row>
    <row r="935" spans="1:14" s="13" customFormat="1" ht="31.5" x14ac:dyDescent="0.25">
      <c r="A935" s="38">
        <v>15</v>
      </c>
      <c r="B935" s="34" t="s">
        <v>985</v>
      </c>
      <c r="C935" s="18" t="s">
        <v>596</v>
      </c>
      <c r="D935" s="32" t="s">
        <v>2124</v>
      </c>
      <c r="E935" s="76">
        <v>4.931</v>
      </c>
      <c r="F935" s="76">
        <v>8.0000000000000002E-3</v>
      </c>
      <c r="G935" s="5">
        <f t="shared" si="221"/>
        <v>4.9390000000000001</v>
      </c>
      <c r="H935" s="5">
        <v>6517.7454500000003</v>
      </c>
      <c r="I935" s="5"/>
      <c r="J935" s="5">
        <f t="shared" si="222"/>
        <v>6517.7454500000003</v>
      </c>
      <c r="K935" s="5">
        <f t="shared" si="219"/>
        <v>1319.6488054261997</v>
      </c>
      <c r="L935" s="5">
        <f t="shared" si="220"/>
        <v>0.38905817506252205</v>
      </c>
      <c r="M935" s="5">
        <f t="shared" si="223"/>
        <v>0</v>
      </c>
      <c r="N935" s="5">
        <f t="shared" si="224"/>
        <v>6847.7</v>
      </c>
    </row>
    <row r="936" spans="1:14" s="13" customFormat="1" ht="31.5" x14ac:dyDescent="0.25">
      <c r="A936" s="38">
        <v>15</v>
      </c>
      <c r="B936" s="34" t="s">
        <v>984</v>
      </c>
      <c r="C936" s="18" t="s">
        <v>597</v>
      </c>
      <c r="D936" s="32" t="s">
        <v>2125</v>
      </c>
      <c r="E936" s="76">
        <v>8.4469999999999992</v>
      </c>
      <c r="F936" s="76">
        <v>1.9E-2</v>
      </c>
      <c r="G936" s="5">
        <f t="shared" si="221"/>
        <v>8.4659999999999993</v>
      </c>
      <c r="H936" s="5">
        <v>8392.9772300000004</v>
      </c>
      <c r="I936" s="5"/>
      <c r="J936" s="5">
        <f t="shared" si="222"/>
        <v>8392.9772300000004</v>
      </c>
      <c r="K936" s="5">
        <f t="shared" si="219"/>
        <v>991.37458421922997</v>
      </c>
      <c r="L936" s="5">
        <f t="shared" si="220"/>
        <v>0.29227653975341722</v>
      </c>
      <c r="M936" s="5">
        <f t="shared" si="223"/>
        <v>0</v>
      </c>
      <c r="N936" s="5">
        <f t="shared" si="224"/>
        <v>13961</v>
      </c>
    </row>
    <row r="937" spans="1:14" s="13" customFormat="1" ht="31.5" x14ac:dyDescent="0.25">
      <c r="A937" s="38">
        <v>15</v>
      </c>
      <c r="B937" s="34" t="s">
        <v>984</v>
      </c>
      <c r="C937" s="18" t="s">
        <v>706</v>
      </c>
      <c r="D937" s="32" t="s">
        <v>2126</v>
      </c>
      <c r="E937" s="76">
        <v>13.051</v>
      </c>
      <c r="F937" s="76">
        <v>2.9000000000000001E-2</v>
      </c>
      <c r="G937" s="5">
        <f t="shared" si="221"/>
        <v>13.08</v>
      </c>
      <c r="H937" s="5">
        <v>10271.332130000001</v>
      </c>
      <c r="I937" s="5"/>
      <c r="J937" s="5">
        <f t="shared" si="222"/>
        <v>10271.332130000001</v>
      </c>
      <c r="K937" s="5">
        <f t="shared" si="219"/>
        <v>785.27004051987774</v>
      </c>
      <c r="L937" s="5">
        <f t="shared" si="220"/>
        <v>0.23151290528184554</v>
      </c>
      <c r="M937" s="5">
        <f t="shared" si="223"/>
        <v>0</v>
      </c>
      <c r="N937" s="5">
        <f t="shared" si="224"/>
        <v>23726.5</v>
      </c>
    </row>
    <row r="938" spans="1:14" s="12" customFormat="1" ht="31.5" x14ac:dyDescent="0.25">
      <c r="A938" s="38">
        <v>15</v>
      </c>
      <c r="B938" s="34" t="s">
        <v>985</v>
      </c>
      <c r="C938" s="18" t="s">
        <v>707</v>
      </c>
      <c r="D938" s="32" t="s">
        <v>2127</v>
      </c>
      <c r="E938" s="76">
        <v>14.478999999999999</v>
      </c>
      <c r="F938" s="76">
        <v>0.622</v>
      </c>
      <c r="G938" s="5">
        <f t="shared" si="221"/>
        <v>15.100999999999999</v>
      </c>
      <c r="H938" s="5">
        <v>59480.253880000004</v>
      </c>
      <c r="I938" s="5"/>
      <c r="J938" s="5">
        <f t="shared" si="222"/>
        <v>59480.253880000004</v>
      </c>
      <c r="K938" s="5">
        <f t="shared" si="219"/>
        <v>3938.8288113369981</v>
      </c>
      <c r="L938" s="5">
        <f t="shared" si="220"/>
        <v>1.1612434633527622</v>
      </c>
      <c r="M938" s="5">
        <f t="shared" si="223"/>
        <v>1568.5</v>
      </c>
      <c r="N938" s="5">
        <f t="shared" si="224"/>
        <v>0</v>
      </c>
    </row>
    <row r="939" spans="1:14" ht="15.75" x14ac:dyDescent="0.25">
      <c r="A939" s="38">
        <v>15</v>
      </c>
      <c r="B939" s="34" t="s">
        <v>983</v>
      </c>
      <c r="C939" s="18">
        <v>15526000000</v>
      </c>
      <c r="D939" s="32" t="s">
        <v>2128</v>
      </c>
      <c r="E939" s="76">
        <v>33.698999999999998</v>
      </c>
      <c r="F939" s="76">
        <v>7.1999999999999995E-2</v>
      </c>
      <c r="G939" s="5">
        <f t="shared" si="221"/>
        <v>33.771000000000001</v>
      </c>
      <c r="H939" s="5">
        <v>56750.923959999993</v>
      </c>
      <c r="I939" s="5"/>
      <c r="J939" s="5">
        <f t="shared" si="222"/>
        <v>56750.923959999993</v>
      </c>
      <c r="K939" s="5">
        <f t="shared" si="219"/>
        <v>1680.4632365046932</v>
      </c>
      <c r="L939" s="5">
        <f t="shared" si="220"/>
        <v>0.49543329813648551</v>
      </c>
      <c r="M939" s="5">
        <f t="shared" si="223"/>
        <v>0</v>
      </c>
      <c r="N939" s="5">
        <f t="shared" si="224"/>
        <v>37073.9</v>
      </c>
    </row>
    <row r="940" spans="1:14" ht="31.5" x14ac:dyDescent="0.25">
      <c r="A940" s="38">
        <v>15</v>
      </c>
      <c r="B940" s="34" t="s">
        <v>985</v>
      </c>
      <c r="C940" s="18">
        <v>15527000000</v>
      </c>
      <c r="D940" s="32" t="s">
        <v>3054</v>
      </c>
      <c r="E940" s="76">
        <v>21.484000000000002</v>
      </c>
      <c r="F940" s="76">
        <v>0.05</v>
      </c>
      <c r="G940" s="5">
        <f t="shared" si="221"/>
        <v>21.534000000000002</v>
      </c>
      <c r="H940" s="5">
        <v>43478.031569999999</v>
      </c>
      <c r="I940" s="5"/>
      <c r="J940" s="5">
        <f t="shared" si="222"/>
        <v>43478.031569999999</v>
      </c>
      <c r="K940" s="5">
        <f t="shared" si="219"/>
        <v>2019.0411242685982</v>
      </c>
      <c r="L940" s="5">
        <f t="shared" si="220"/>
        <v>0.59525265506562341</v>
      </c>
      <c r="M940" s="5">
        <f t="shared" si="223"/>
        <v>0</v>
      </c>
      <c r="N940" s="5">
        <f t="shared" si="224"/>
        <v>17807.3</v>
      </c>
    </row>
    <row r="941" spans="1:14" ht="31.5" x14ac:dyDescent="0.25">
      <c r="A941" s="38">
        <v>15</v>
      </c>
      <c r="B941" s="34" t="s">
        <v>985</v>
      </c>
      <c r="C941" s="18">
        <v>15528000000</v>
      </c>
      <c r="D941" s="32" t="s">
        <v>2130</v>
      </c>
      <c r="E941" s="76">
        <v>19.43</v>
      </c>
      <c r="F941" s="76">
        <v>1.0999999999999999E-2</v>
      </c>
      <c r="G941" s="5">
        <f t="shared" si="221"/>
        <v>19.440999999999999</v>
      </c>
      <c r="H941" s="5">
        <v>39629.692499999997</v>
      </c>
      <c r="I941" s="5"/>
      <c r="J941" s="5">
        <f t="shared" si="222"/>
        <v>39629.692499999997</v>
      </c>
      <c r="K941" s="5">
        <f t="shared" si="219"/>
        <v>2038.4595699809681</v>
      </c>
      <c r="L941" s="5">
        <f t="shared" si="220"/>
        <v>0.60097759113978244</v>
      </c>
      <c r="M941" s="5">
        <f t="shared" si="223"/>
        <v>0</v>
      </c>
      <c r="N941" s="5">
        <f t="shared" si="224"/>
        <v>15774.5</v>
      </c>
    </row>
    <row r="942" spans="1:14" ht="15.75" x14ac:dyDescent="0.25">
      <c r="A942" s="38">
        <v>15</v>
      </c>
      <c r="B942" s="34" t="s">
        <v>984</v>
      </c>
      <c r="C942" s="18">
        <v>15529000000</v>
      </c>
      <c r="D942" s="32" t="s">
        <v>3055</v>
      </c>
      <c r="E942" s="76">
        <v>9.7530000000000001</v>
      </c>
      <c r="F942" s="76">
        <v>4.4999999999999998E-2</v>
      </c>
      <c r="G942" s="5">
        <f t="shared" si="221"/>
        <v>9.798</v>
      </c>
      <c r="H942" s="5">
        <v>209650.6471</v>
      </c>
      <c r="I942" s="5"/>
      <c r="J942" s="5">
        <f t="shared" si="222"/>
        <v>209650.6471</v>
      </c>
      <c r="K942" s="5">
        <f t="shared" si="219"/>
        <v>21397.289967340275</v>
      </c>
      <c r="L942" s="5">
        <f t="shared" si="220"/>
        <v>6.3083379091063616</v>
      </c>
      <c r="M942" s="5">
        <f t="shared" si="223"/>
        <v>86546.7</v>
      </c>
      <c r="N942" s="5">
        <f t="shared" si="224"/>
        <v>0</v>
      </c>
    </row>
    <row r="943" spans="1:14" ht="31.5" x14ac:dyDescent="0.25">
      <c r="A943" s="38">
        <v>15</v>
      </c>
      <c r="B943" s="34" t="s">
        <v>984</v>
      </c>
      <c r="C943" s="18">
        <v>15530000000</v>
      </c>
      <c r="D943" s="32" t="s">
        <v>3056</v>
      </c>
      <c r="E943" s="76">
        <v>6.0860000000000003</v>
      </c>
      <c r="F943" s="76">
        <v>1.4E-2</v>
      </c>
      <c r="G943" s="5">
        <f t="shared" si="221"/>
        <v>6.1000000000000005</v>
      </c>
      <c r="H943" s="5">
        <v>7284.5263800000002</v>
      </c>
      <c r="I943" s="5"/>
      <c r="J943" s="5">
        <f t="shared" si="222"/>
        <v>7284.5263800000002</v>
      </c>
      <c r="K943" s="5">
        <f t="shared" ref="K943:K950" si="225">J943/G943</f>
        <v>1194.1846524590164</v>
      </c>
      <c r="L943" s="5">
        <f t="shared" si="220"/>
        <v>0.35206889868196822</v>
      </c>
      <c r="M943" s="5">
        <f t="shared" si="223"/>
        <v>0</v>
      </c>
      <c r="N943" s="5">
        <f t="shared" si="224"/>
        <v>9069.6</v>
      </c>
    </row>
    <row r="944" spans="1:14" ht="31.5" x14ac:dyDescent="0.25">
      <c r="A944" s="38">
        <v>15</v>
      </c>
      <c r="B944" s="34" t="s">
        <v>984</v>
      </c>
      <c r="C944" s="18">
        <v>15531000000</v>
      </c>
      <c r="D944" s="32" t="s">
        <v>3057</v>
      </c>
      <c r="E944" s="76">
        <v>4.9560000000000004</v>
      </c>
      <c r="F944" s="76">
        <v>8.0000000000000002E-3</v>
      </c>
      <c r="G944" s="5">
        <f t="shared" si="221"/>
        <v>4.9640000000000004</v>
      </c>
      <c r="H944" s="5">
        <v>11798.61038</v>
      </c>
      <c r="I944" s="5"/>
      <c r="J944" s="5">
        <f t="shared" si="222"/>
        <v>11798.61038</v>
      </c>
      <c r="K944" s="5">
        <f t="shared" si="225"/>
        <v>2376.835290088638</v>
      </c>
      <c r="L944" s="5">
        <f t="shared" si="220"/>
        <v>0.70073734510556518</v>
      </c>
      <c r="M944" s="5">
        <f t="shared" si="223"/>
        <v>0</v>
      </c>
      <c r="N944" s="5">
        <f t="shared" si="224"/>
        <v>2684.1</v>
      </c>
    </row>
    <row r="945" spans="1:14" ht="31.5" x14ac:dyDescent="0.25">
      <c r="A945" s="38">
        <v>15</v>
      </c>
      <c r="B945" s="34" t="s">
        <v>985</v>
      </c>
      <c r="C945" s="18">
        <v>15532000000</v>
      </c>
      <c r="D945" s="32" t="s">
        <v>3058</v>
      </c>
      <c r="E945" s="76">
        <v>7.4480000000000004</v>
      </c>
      <c r="F945" s="76">
        <v>2.1000000000000001E-2</v>
      </c>
      <c r="G945" s="5">
        <f t="shared" si="221"/>
        <v>7.4690000000000003</v>
      </c>
      <c r="H945" s="5">
        <v>10421.745250000002</v>
      </c>
      <c r="I945" s="5"/>
      <c r="J945" s="5">
        <f t="shared" si="222"/>
        <v>10421.745250000002</v>
      </c>
      <c r="K945" s="5">
        <f t="shared" si="225"/>
        <v>1395.333411433927</v>
      </c>
      <c r="L945" s="5">
        <f t="shared" ref="L945:L976" si="226">K945/$K$1659</f>
        <v>0.41137147127634499</v>
      </c>
      <c r="M945" s="5">
        <f t="shared" si="223"/>
        <v>0</v>
      </c>
      <c r="N945" s="5">
        <f t="shared" si="224"/>
        <v>9903.2000000000007</v>
      </c>
    </row>
    <row r="946" spans="1:14" ht="31.5" x14ac:dyDescent="0.25">
      <c r="A946" s="38">
        <v>15</v>
      </c>
      <c r="B946" s="34" t="s">
        <v>984</v>
      </c>
      <c r="C946" s="18">
        <v>15533000000</v>
      </c>
      <c r="D946" s="32" t="s">
        <v>3059</v>
      </c>
      <c r="E946" s="76">
        <v>5.2329999999999997</v>
      </c>
      <c r="F946" s="76">
        <v>8.9999999999999993E-3</v>
      </c>
      <c r="G946" s="5">
        <f t="shared" si="221"/>
        <v>5.242</v>
      </c>
      <c r="H946" s="5">
        <v>7655.6915900000004</v>
      </c>
      <c r="I946" s="5"/>
      <c r="J946" s="5">
        <f t="shared" si="222"/>
        <v>7655.6915900000004</v>
      </c>
      <c r="K946" s="5">
        <f t="shared" si="225"/>
        <v>1460.4524208317437</v>
      </c>
      <c r="L946" s="5">
        <f t="shared" si="226"/>
        <v>0.43056982378802816</v>
      </c>
      <c r="M946" s="5">
        <f t="shared" ref="M946:M977" si="227">ROUND(IF(L946&lt;110%,0,(K946-$K$1659*1.1)*0.5)*G946,1)</f>
        <v>0</v>
      </c>
      <c r="N946" s="5">
        <f t="shared" ref="N946:N977" si="228">ROUND(IF(L946&gt;90%,0,(-K946+$K$1659*0.9)*0.8)*G946,1)</f>
        <v>6677.3</v>
      </c>
    </row>
    <row r="947" spans="1:14" ht="15.75" x14ac:dyDescent="0.25">
      <c r="A947" s="38">
        <v>15</v>
      </c>
      <c r="B947" s="34" t="s">
        <v>985</v>
      </c>
      <c r="C947" s="18">
        <v>15534000000</v>
      </c>
      <c r="D947" s="32" t="s">
        <v>2484</v>
      </c>
      <c r="E947" s="76">
        <v>8.1370000000000005</v>
      </c>
      <c r="F947" s="76">
        <v>1.9E-2</v>
      </c>
      <c r="G947" s="5">
        <f t="shared" si="221"/>
        <v>8.1560000000000006</v>
      </c>
      <c r="H947" s="5">
        <v>20256.342689999998</v>
      </c>
      <c r="I947" s="5"/>
      <c r="J947" s="5">
        <f t="shared" si="222"/>
        <v>20256.342689999998</v>
      </c>
      <c r="K947" s="5">
        <f t="shared" si="225"/>
        <v>2483.6123945561544</v>
      </c>
      <c r="L947" s="5">
        <f t="shared" si="226"/>
        <v>0.73221731555813985</v>
      </c>
      <c r="M947" s="5">
        <f t="shared" si="227"/>
        <v>0</v>
      </c>
      <c r="N947" s="5">
        <f t="shared" si="228"/>
        <v>3713.3</v>
      </c>
    </row>
    <row r="948" spans="1:14" ht="31.5" x14ac:dyDescent="0.25">
      <c r="A948" s="38">
        <v>15</v>
      </c>
      <c r="B948" s="34" t="s">
        <v>984</v>
      </c>
      <c r="C948" s="18">
        <v>15535000000</v>
      </c>
      <c r="D948" s="32" t="s">
        <v>3060</v>
      </c>
      <c r="E948" s="76">
        <v>5.2990000000000004</v>
      </c>
      <c r="F948" s="76">
        <v>7.0000000000000001E-3</v>
      </c>
      <c r="G948" s="5">
        <f t="shared" si="221"/>
        <v>5.306</v>
      </c>
      <c r="H948" s="5">
        <v>6752.0495499999997</v>
      </c>
      <c r="I948" s="5"/>
      <c r="J948" s="5">
        <f t="shared" si="222"/>
        <v>6752.0495499999997</v>
      </c>
      <c r="K948" s="5">
        <f t="shared" si="225"/>
        <v>1272.5310120618167</v>
      </c>
      <c r="L948" s="5">
        <f t="shared" si="226"/>
        <v>0.37516693170751486</v>
      </c>
      <c r="M948" s="5">
        <f t="shared" si="227"/>
        <v>0</v>
      </c>
      <c r="N948" s="5">
        <f t="shared" si="228"/>
        <v>7556.5</v>
      </c>
    </row>
    <row r="949" spans="1:14" ht="31.5" x14ac:dyDescent="0.25">
      <c r="A949" s="38">
        <v>15</v>
      </c>
      <c r="B949" s="34" t="s">
        <v>984</v>
      </c>
      <c r="C949" s="18">
        <v>15536000000</v>
      </c>
      <c r="D949" s="32" t="s">
        <v>3061</v>
      </c>
      <c r="E949" s="76">
        <v>4.8470000000000004</v>
      </c>
      <c r="F949" s="76">
        <v>1.2E-2</v>
      </c>
      <c r="G949" s="5">
        <f t="shared" si="221"/>
        <v>4.859</v>
      </c>
      <c r="H949" s="5">
        <v>6692.0875900000001</v>
      </c>
      <c r="I949" s="5"/>
      <c r="J949" s="5">
        <f t="shared" si="222"/>
        <v>6692.0875900000001</v>
      </c>
      <c r="K949" s="5">
        <f t="shared" si="225"/>
        <v>1377.2561411813131</v>
      </c>
      <c r="L949" s="5">
        <f t="shared" si="226"/>
        <v>0.40604193985429171</v>
      </c>
      <c r="M949" s="5">
        <f t="shared" si="227"/>
        <v>0</v>
      </c>
      <c r="N949" s="5">
        <f t="shared" si="228"/>
        <v>6512.8</v>
      </c>
    </row>
    <row r="950" spans="1:14" ht="31.5" x14ac:dyDescent="0.25">
      <c r="A950" s="38">
        <v>15</v>
      </c>
      <c r="B950" s="34" t="s">
        <v>984</v>
      </c>
      <c r="C950" s="18">
        <v>15537000000</v>
      </c>
      <c r="D950" s="32" t="s">
        <v>3062</v>
      </c>
      <c r="E950" s="76">
        <v>2.0870000000000002</v>
      </c>
      <c r="F950" s="76">
        <v>1E-3</v>
      </c>
      <c r="G950" s="5">
        <f t="shared" si="221"/>
        <v>2.0880000000000001</v>
      </c>
      <c r="H950" s="5">
        <v>3311.2098500000002</v>
      </c>
      <c r="I950" s="5"/>
      <c r="J950" s="5">
        <f t="shared" si="222"/>
        <v>3311.2098500000002</v>
      </c>
      <c r="K950" s="5">
        <f t="shared" si="225"/>
        <v>1585.8284722222222</v>
      </c>
      <c r="L950" s="5">
        <f t="shared" si="226"/>
        <v>0.46753312610751979</v>
      </c>
      <c r="M950" s="5">
        <f t="shared" si="227"/>
        <v>0</v>
      </c>
      <c r="N950" s="5">
        <f t="shared" si="228"/>
        <v>2450.3000000000002</v>
      </c>
    </row>
    <row r="951" spans="1:14" ht="15.75" x14ac:dyDescent="0.25">
      <c r="A951" s="38">
        <v>15</v>
      </c>
      <c r="B951" s="34" t="s">
        <v>983</v>
      </c>
      <c r="C951" s="18">
        <v>15538000000</v>
      </c>
      <c r="D951" s="32" t="s">
        <v>2140</v>
      </c>
      <c r="E951" s="76">
        <v>22.035</v>
      </c>
      <c r="F951" s="76">
        <v>7.0000000000000007E-2</v>
      </c>
      <c r="G951" s="5">
        <f t="shared" si="221"/>
        <v>22.105</v>
      </c>
      <c r="H951" s="5">
        <v>46452.926559999993</v>
      </c>
      <c r="I951" s="5"/>
      <c r="J951" s="5">
        <f t="shared" ref="J951:J982" si="229">H951+I951</f>
        <v>46452.926559999993</v>
      </c>
      <c r="K951" s="5">
        <f t="shared" ref="K951:K982" si="230">J951/G951</f>
        <v>2101.466933273015</v>
      </c>
      <c r="L951" s="5">
        <f t="shared" si="226"/>
        <v>0.61955338924387582</v>
      </c>
      <c r="M951" s="5">
        <f t="shared" si="227"/>
        <v>0</v>
      </c>
      <c r="N951" s="5">
        <f t="shared" si="228"/>
        <v>16821.900000000001</v>
      </c>
    </row>
    <row r="952" spans="1:14" ht="15.75" x14ac:dyDescent="0.25">
      <c r="A952" s="38">
        <v>15</v>
      </c>
      <c r="B952" s="34" t="s">
        <v>983</v>
      </c>
      <c r="C952" s="18">
        <v>15539000000</v>
      </c>
      <c r="D952" s="32" t="s">
        <v>2141</v>
      </c>
      <c r="E952" s="76">
        <v>31.501999999999999</v>
      </c>
      <c r="F952" s="76">
        <v>6.0999999999999999E-2</v>
      </c>
      <c r="G952" s="5">
        <f t="shared" ref="G952:G983" si="231">F952+E952</f>
        <v>31.562999999999999</v>
      </c>
      <c r="H952" s="5">
        <v>57095.278379999996</v>
      </c>
      <c r="I952" s="5"/>
      <c r="J952" s="5">
        <f t="shared" si="229"/>
        <v>57095.278379999996</v>
      </c>
      <c r="K952" s="5">
        <f t="shared" si="230"/>
        <v>1808.9306586826347</v>
      </c>
      <c r="L952" s="5">
        <f t="shared" si="226"/>
        <v>0.53330799678511143</v>
      </c>
      <c r="M952" s="5">
        <f t="shared" si="227"/>
        <v>0</v>
      </c>
      <c r="N952" s="5">
        <f t="shared" si="228"/>
        <v>31406.1</v>
      </c>
    </row>
    <row r="953" spans="1:14" ht="31.5" x14ac:dyDescent="0.25">
      <c r="A953" s="38">
        <v>15</v>
      </c>
      <c r="B953" s="34" t="s">
        <v>986</v>
      </c>
      <c r="C953" s="18">
        <v>15540000000</v>
      </c>
      <c r="D953" s="32" t="s">
        <v>2142</v>
      </c>
      <c r="E953" s="76">
        <v>48.197000000000003</v>
      </c>
      <c r="F953" s="76">
        <v>0.56999999999999995</v>
      </c>
      <c r="G953" s="5">
        <f t="shared" si="231"/>
        <v>48.767000000000003</v>
      </c>
      <c r="H953" s="5">
        <v>144336.38824</v>
      </c>
      <c r="I953" s="5">
        <f>(0.6)*0.6</f>
        <v>0.36</v>
      </c>
      <c r="J953" s="5">
        <f t="shared" si="229"/>
        <v>144336.74823999999</v>
      </c>
      <c r="K953" s="5">
        <f t="shared" si="230"/>
        <v>2959.7217019705945</v>
      </c>
      <c r="L953" s="5">
        <f t="shared" si="226"/>
        <v>0.87258361416068297</v>
      </c>
      <c r="M953" s="5">
        <f t="shared" si="227"/>
        <v>0</v>
      </c>
      <c r="N953" s="5">
        <f t="shared" si="228"/>
        <v>3628</v>
      </c>
    </row>
    <row r="954" spans="1:14" ht="15.75" x14ac:dyDescent="0.25">
      <c r="A954" s="38">
        <v>15</v>
      </c>
      <c r="B954" s="34" t="s">
        <v>983</v>
      </c>
      <c r="C954" s="18">
        <v>15541000000</v>
      </c>
      <c r="D954" s="32" t="s">
        <v>2143</v>
      </c>
      <c r="E954" s="76">
        <v>26.05</v>
      </c>
      <c r="F954" s="76">
        <v>7.0000000000000007E-2</v>
      </c>
      <c r="G954" s="5">
        <f t="shared" si="231"/>
        <v>26.12</v>
      </c>
      <c r="H954" s="5">
        <v>56003.762130000003</v>
      </c>
      <c r="I954" s="5"/>
      <c r="J954" s="5">
        <f t="shared" si="229"/>
        <v>56003.762130000003</v>
      </c>
      <c r="K954" s="5">
        <f t="shared" si="230"/>
        <v>2144.0950279479325</v>
      </c>
      <c r="L954" s="5">
        <f t="shared" si="226"/>
        <v>0.63212098196431898</v>
      </c>
      <c r="M954" s="5">
        <f t="shared" si="227"/>
        <v>0</v>
      </c>
      <c r="N954" s="5">
        <f t="shared" si="228"/>
        <v>18986.5</v>
      </c>
    </row>
    <row r="955" spans="1:14" ht="31.5" x14ac:dyDescent="0.25">
      <c r="A955" s="38">
        <v>15</v>
      </c>
      <c r="B955" s="34" t="s">
        <v>985</v>
      </c>
      <c r="C955" s="18">
        <v>15542000000</v>
      </c>
      <c r="D955" s="32" t="s">
        <v>2144</v>
      </c>
      <c r="E955" s="76">
        <v>17.114000000000001</v>
      </c>
      <c r="F955" s="76">
        <v>0.03</v>
      </c>
      <c r="G955" s="5">
        <f t="shared" si="231"/>
        <v>17.144000000000002</v>
      </c>
      <c r="H955" s="5">
        <v>18121.662399999997</v>
      </c>
      <c r="I955" s="5"/>
      <c r="J955" s="5">
        <f t="shared" si="229"/>
        <v>18121.662399999997</v>
      </c>
      <c r="K955" s="5">
        <f t="shared" si="230"/>
        <v>1057.026504899673</v>
      </c>
      <c r="L955" s="5">
        <f t="shared" si="226"/>
        <v>0.31163200489251786</v>
      </c>
      <c r="M955" s="5">
        <f t="shared" si="227"/>
        <v>0</v>
      </c>
      <c r="N955" s="5">
        <f t="shared" si="228"/>
        <v>27371.3</v>
      </c>
    </row>
    <row r="956" spans="1:14" ht="31.5" x14ac:dyDescent="0.25">
      <c r="A956" s="38">
        <v>15</v>
      </c>
      <c r="B956" s="34" t="s">
        <v>984</v>
      </c>
      <c r="C956" s="18">
        <v>15543000000</v>
      </c>
      <c r="D956" s="32" t="s">
        <v>2145</v>
      </c>
      <c r="E956" s="76">
        <v>11.587</v>
      </c>
      <c r="F956" s="76">
        <v>2.1000000000000001E-2</v>
      </c>
      <c r="G956" s="5">
        <f t="shared" si="231"/>
        <v>11.608000000000001</v>
      </c>
      <c r="H956" s="5">
        <v>10479.408350000002</v>
      </c>
      <c r="I956" s="5"/>
      <c r="J956" s="5">
        <f t="shared" si="229"/>
        <v>10479.408350000002</v>
      </c>
      <c r="K956" s="5">
        <f t="shared" si="230"/>
        <v>902.77466833218477</v>
      </c>
      <c r="L956" s="5">
        <f t="shared" si="226"/>
        <v>0.26615555859239232</v>
      </c>
      <c r="M956" s="5">
        <f t="shared" si="227"/>
        <v>0</v>
      </c>
      <c r="N956" s="5">
        <f t="shared" si="228"/>
        <v>19965.2</v>
      </c>
    </row>
    <row r="957" spans="1:14" ht="31.5" x14ac:dyDescent="0.25">
      <c r="A957" s="38">
        <v>15</v>
      </c>
      <c r="B957" s="34" t="s">
        <v>984</v>
      </c>
      <c r="C957" s="18">
        <v>15544000000</v>
      </c>
      <c r="D957" s="32" t="s">
        <v>2146</v>
      </c>
      <c r="E957" s="76">
        <v>12.167</v>
      </c>
      <c r="F957" s="76">
        <v>4.4999999999999998E-2</v>
      </c>
      <c r="G957" s="5">
        <f t="shared" si="231"/>
        <v>12.212</v>
      </c>
      <c r="H957" s="5">
        <v>15635.9794</v>
      </c>
      <c r="I957" s="5"/>
      <c r="J957" s="5">
        <f t="shared" si="229"/>
        <v>15635.9794</v>
      </c>
      <c r="K957" s="5">
        <f t="shared" si="230"/>
        <v>1280.3782672780872</v>
      </c>
      <c r="L957" s="5">
        <f t="shared" si="226"/>
        <v>0.37748045541256309</v>
      </c>
      <c r="M957" s="5">
        <f t="shared" si="227"/>
        <v>0</v>
      </c>
      <c r="N957" s="5">
        <f t="shared" si="228"/>
        <v>17315</v>
      </c>
    </row>
    <row r="958" spans="1:14" ht="31.5" x14ac:dyDescent="0.25">
      <c r="A958" s="38">
        <v>15</v>
      </c>
      <c r="B958" s="34" t="s">
        <v>985</v>
      </c>
      <c r="C958" s="18">
        <v>15545000000</v>
      </c>
      <c r="D958" s="32" t="s">
        <v>2147</v>
      </c>
      <c r="E958" s="76">
        <v>16.905999999999999</v>
      </c>
      <c r="F958" s="76">
        <v>0.17699999999999999</v>
      </c>
      <c r="G958" s="5">
        <f t="shared" si="231"/>
        <v>17.082999999999998</v>
      </c>
      <c r="H958" s="5">
        <v>40641.893580000004</v>
      </c>
      <c r="I958" s="5"/>
      <c r="J958" s="5">
        <f t="shared" si="229"/>
        <v>40641.893580000004</v>
      </c>
      <c r="K958" s="5">
        <f t="shared" si="230"/>
        <v>2379.0840941286665</v>
      </c>
      <c r="L958" s="5">
        <f t="shared" si="226"/>
        <v>0.70140033634405918</v>
      </c>
      <c r="M958" s="5">
        <f t="shared" si="227"/>
        <v>0</v>
      </c>
      <c r="N958" s="5">
        <f t="shared" si="228"/>
        <v>9206.1</v>
      </c>
    </row>
    <row r="959" spans="1:14" ht="31.5" x14ac:dyDescent="0.25">
      <c r="A959" s="38">
        <v>15</v>
      </c>
      <c r="B959" s="34" t="s">
        <v>984</v>
      </c>
      <c r="C959" s="18">
        <v>15546000000</v>
      </c>
      <c r="D959" s="32" t="s">
        <v>2148</v>
      </c>
      <c r="E959" s="76">
        <v>12.006</v>
      </c>
      <c r="F959" s="76">
        <v>1.6E-2</v>
      </c>
      <c r="G959" s="5">
        <f t="shared" si="231"/>
        <v>12.022</v>
      </c>
      <c r="H959" s="5">
        <v>12789.85622</v>
      </c>
      <c r="I959" s="5"/>
      <c r="J959" s="5">
        <f t="shared" si="229"/>
        <v>12789.85622</v>
      </c>
      <c r="K959" s="5">
        <f t="shared" si="230"/>
        <v>1063.8709216436532</v>
      </c>
      <c r="L959" s="5">
        <f t="shared" si="226"/>
        <v>0.31364987228028873</v>
      </c>
      <c r="M959" s="5">
        <f t="shared" si="227"/>
        <v>0</v>
      </c>
      <c r="N959" s="5">
        <f t="shared" si="228"/>
        <v>19127.900000000001</v>
      </c>
    </row>
    <row r="960" spans="1:14" ht="31.5" x14ac:dyDescent="0.25">
      <c r="A960" s="38">
        <v>15</v>
      </c>
      <c r="B960" s="34" t="s">
        <v>984</v>
      </c>
      <c r="C960" s="18">
        <v>15547000000</v>
      </c>
      <c r="D960" s="32" t="s">
        <v>2149</v>
      </c>
      <c r="E960" s="76">
        <v>14.785</v>
      </c>
      <c r="F960" s="76">
        <v>3.0000000000000001E-3</v>
      </c>
      <c r="G960" s="5">
        <f t="shared" si="231"/>
        <v>14.788</v>
      </c>
      <c r="H960" s="5">
        <v>8772.5176800000008</v>
      </c>
      <c r="I960" s="5"/>
      <c r="J960" s="5">
        <f t="shared" si="229"/>
        <v>8772.5176800000008</v>
      </c>
      <c r="K960" s="5">
        <f t="shared" si="230"/>
        <v>593.21866919123613</v>
      </c>
      <c r="L960" s="5">
        <f t="shared" si="226"/>
        <v>0.17489241978589995</v>
      </c>
      <c r="M960" s="5">
        <f t="shared" si="227"/>
        <v>0</v>
      </c>
      <c r="N960" s="5">
        <f t="shared" si="228"/>
        <v>29096.799999999999</v>
      </c>
    </row>
    <row r="961" spans="1:14" s="75" customFormat="1" ht="31.5" x14ac:dyDescent="0.25">
      <c r="A961" s="38">
        <v>15</v>
      </c>
      <c r="B961" s="34" t="s">
        <v>984</v>
      </c>
      <c r="C961" s="18">
        <v>15548000000</v>
      </c>
      <c r="D961" s="32" t="s">
        <v>2150</v>
      </c>
      <c r="E961" s="76">
        <v>10.474</v>
      </c>
      <c r="F961" s="86">
        <v>0.05</v>
      </c>
      <c r="G961" s="5">
        <f t="shared" si="231"/>
        <v>10.524000000000001</v>
      </c>
      <c r="H961" s="83">
        <v>30335.650170000001</v>
      </c>
      <c r="I961" s="5">
        <f>(29077.898+10801.039)*0.6</f>
        <v>23927.362200000003</v>
      </c>
      <c r="J961" s="5">
        <f t="shared" si="229"/>
        <v>54263.012370000004</v>
      </c>
      <c r="K961" s="5">
        <f t="shared" si="230"/>
        <v>5156.1205216647659</v>
      </c>
      <c r="L961" s="5">
        <f t="shared" si="226"/>
        <v>1.5201247728280527</v>
      </c>
      <c r="M961" s="5">
        <f t="shared" si="227"/>
        <v>7498.5</v>
      </c>
      <c r="N961" s="5">
        <f t="shared" si="228"/>
        <v>0</v>
      </c>
    </row>
    <row r="962" spans="1:14" s="75" customFormat="1" ht="31.5" x14ac:dyDescent="0.25">
      <c r="A962" s="38">
        <v>15</v>
      </c>
      <c r="B962" s="34" t="s">
        <v>984</v>
      </c>
      <c r="C962" s="18">
        <v>15549000000</v>
      </c>
      <c r="D962" s="32" t="s">
        <v>2151</v>
      </c>
      <c r="E962" s="76">
        <v>5.6639999999999997</v>
      </c>
      <c r="F962" s="76">
        <v>0.01</v>
      </c>
      <c r="G962" s="5">
        <f t="shared" si="231"/>
        <v>5.6739999999999995</v>
      </c>
      <c r="H962" s="5">
        <v>4530.7632700000004</v>
      </c>
      <c r="I962" s="5"/>
      <c r="J962" s="5">
        <f t="shared" si="229"/>
        <v>4530.7632700000004</v>
      </c>
      <c r="K962" s="5">
        <f t="shared" si="230"/>
        <v>798.51308953119508</v>
      </c>
      <c r="L962" s="5">
        <f t="shared" si="226"/>
        <v>0.23541721410963451</v>
      </c>
      <c r="M962" s="5">
        <f t="shared" si="227"/>
        <v>0</v>
      </c>
      <c r="N962" s="5">
        <f t="shared" si="228"/>
        <v>10232.299999999999</v>
      </c>
    </row>
    <row r="963" spans="1:14" ht="31.5" x14ac:dyDescent="0.25">
      <c r="A963" s="38">
        <v>15</v>
      </c>
      <c r="B963" s="34" t="s">
        <v>985</v>
      </c>
      <c r="C963" s="18">
        <v>15550000000</v>
      </c>
      <c r="D963" s="32" t="s">
        <v>2152</v>
      </c>
      <c r="E963" s="76">
        <v>15.192</v>
      </c>
      <c r="F963" s="76">
        <v>2.7E-2</v>
      </c>
      <c r="G963" s="5">
        <f t="shared" si="231"/>
        <v>15.218999999999999</v>
      </c>
      <c r="H963" s="5">
        <v>45811.200190000003</v>
      </c>
      <c r="I963" s="5"/>
      <c r="J963" s="5">
        <f t="shared" si="229"/>
        <v>45811.200190000003</v>
      </c>
      <c r="K963" s="5">
        <f t="shared" si="230"/>
        <v>3010.1320842368095</v>
      </c>
      <c r="L963" s="5">
        <f t="shared" si="226"/>
        <v>0.88744557686474013</v>
      </c>
      <c r="M963" s="5">
        <f t="shared" si="227"/>
        <v>0</v>
      </c>
      <c r="N963" s="5">
        <f t="shared" si="228"/>
        <v>518.5</v>
      </c>
    </row>
    <row r="964" spans="1:14" ht="15.75" x14ac:dyDescent="0.25">
      <c r="A964" s="38">
        <v>15</v>
      </c>
      <c r="B964" s="34" t="s">
        <v>984</v>
      </c>
      <c r="C964" s="18">
        <v>15551000000</v>
      </c>
      <c r="D964" s="32" t="s">
        <v>1605</v>
      </c>
      <c r="E964" s="76">
        <v>3.9820000000000002</v>
      </c>
      <c r="F964" s="76">
        <v>3.0000000000000001E-3</v>
      </c>
      <c r="G964" s="5">
        <f t="shared" si="231"/>
        <v>3.9850000000000003</v>
      </c>
      <c r="H964" s="5">
        <v>4589.5219100000004</v>
      </c>
      <c r="I964" s="5"/>
      <c r="J964" s="5">
        <f t="shared" si="229"/>
        <v>4589.5219100000004</v>
      </c>
      <c r="K964" s="5">
        <f t="shared" si="230"/>
        <v>1151.6993500627352</v>
      </c>
      <c r="L964" s="5">
        <f t="shared" si="226"/>
        <v>0.33954340390691085</v>
      </c>
      <c r="M964" s="5">
        <f t="shared" si="227"/>
        <v>0</v>
      </c>
      <c r="N964" s="5">
        <f t="shared" si="228"/>
        <v>6060.4</v>
      </c>
    </row>
    <row r="965" spans="1:14" ht="31.5" x14ac:dyDescent="0.25">
      <c r="A965" s="38">
        <v>15</v>
      </c>
      <c r="B965" s="34" t="s">
        <v>985</v>
      </c>
      <c r="C965" s="18">
        <v>15552000000</v>
      </c>
      <c r="D965" s="32" t="s">
        <v>2153</v>
      </c>
      <c r="E965" s="76">
        <v>13.186999999999999</v>
      </c>
      <c r="F965" s="76">
        <v>1.4E-2</v>
      </c>
      <c r="G965" s="5">
        <f t="shared" si="231"/>
        <v>13.200999999999999</v>
      </c>
      <c r="H965" s="5">
        <v>20180.767799999994</v>
      </c>
      <c r="I965" s="5"/>
      <c r="J965" s="5">
        <f t="shared" si="229"/>
        <v>20180.767799999994</v>
      </c>
      <c r="K965" s="5">
        <f t="shared" si="230"/>
        <v>1528.7302325581393</v>
      </c>
      <c r="L965" s="5">
        <f t="shared" si="226"/>
        <v>0.45069945276075679</v>
      </c>
      <c r="M965" s="5">
        <f t="shared" si="227"/>
        <v>0</v>
      </c>
      <c r="N965" s="5">
        <f t="shared" si="228"/>
        <v>16094.5</v>
      </c>
    </row>
    <row r="966" spans="1:14" s="13" customFormat="1" ht="15.75" x14ac:dyDescent="0.25">
      <c r="A966" s="38">
        <v>15</v>
      </c>
      <c r="B966" s="34" t="s">
        <v>986</v>
      </c>
      <c r="C966" s="18">
        <v>15553000000</v>
      </c>
      <c r="D966" s="32" t="s">
        <v>2154</v>
      </c>
      <c r="E966" s="76">
        <v>70.730999999999995</v>
      </c>
      <c r="F966" s="76">
        <v>0.34300000000000003</v>
      </c>
      <c r="G966" s="5">
        <f t="shared" si="231"/>
        <v>71.073999999999998</v>
      </c>
      <c r="H966" s="5">
        <v>230017.87317000001</v>
      </c>
      <c r="I966" s="5">
        <f>(51.9)*0.6</f>
        <v>31.139999999999997</v>
      </c>
      <c r="J966" s="5">
        <f t="shared" si="229"/>
        <v>230049.01317000002</v>
      </c>
      <c r="K966" s="5">
        <f t="shared" si="230"/>
        <v>3236.753428398571</v>
      </c>
      <c r="L966" s="5">
        <f t="shared" si="226"/>
        <v>0.95425796378711936</v>
      </c>
      <c r="M966" s="5">
        <f t="shared" si="227"/>
        <v>0</v>
      </c>
      <c r="N966" s="5">
        <f t="shared" si="228"/>
        <v>0</v>
      </c>
    </row>
    <row r="967" spans="1:14" s="13" customFormat="1" ht="31.5" x14ac:dyDescent="0.25">
      <c r="A967" s="38">
        <v>15</v>
      </c>
      <c r="B967" s="34" t="s">
        <v>984</v>
      </c>
      <c r="C967" s="18">
        <v>15554000000</v>
      </c>
      <c r="D967" s="32" t="s">
        <v>2155</v>
      </c>
      <c r="E967" s="76">
        <v>4.7789999999999999</v>
      </c>
      <c r="F967" s="76">
        <v>9.5000000000000001E-2</v>
      </c>
      <c r="G967" s="5">
        <f t="shared" si="231"/>
        <v>4.8739999999999997</v>
      </c>
      <c r="H967" s="5">
        <v>13973.1589</v>
      </c>
      <c r="I967" s="5"/>
      <c r="J967" s="5">
        <f t="shared" si="229"/>
        <v>13973.1589</v>
      </c>
      <c r="K967" s="5">
        <f t="shared" si="230"/>
        <v>2866.8770824784574</v>
      </c>
      <c r="L967" s="5">
        <f t="shared" si="226"/>
        <v>0.84521121168855784</v>
      </c>
      <c r="M967" s="5">
        <f t="shared" si="227"/>
        <v>0</v>
      </c>
      <c r="N967" s="5">
        <f t="shared" si="228"/>
        <v>724.6</v>
      </c>
    </row>
    <row r="968" spans="1:14" s="13" customFormat="1" ht="15.75" x14ac:dyDescent="0.25">
      <c r="A968" s="38">
        <v>15</v>
      </c>
      <c r="B968" s="34" t="s">
        <v>983</v>
      </c>
      <c r="C968" s="18">
        <v>15555000000</v>
      </c>
      <c r="D968" s="32" t="s">
        <v>2156</v>
      </c>
      <c r="E968" s="76">
        <v>24.48</v>
      </c>
      <c r="F968" s="76">
        <v>6.5000000000000002E-2</v>
      </c>
      <c r="G968" s="5">
        <f t="shared" si="231"/>
        <v>24.545000000000002</v>
      </c>
      <c r="H968" s="5">
        <v>51826.589539999994</v>
      </c>
      <c r="I968" s="5"/>
      <c r="J968" s="5">
        <f t="shared" si="229"/>
        <v>51826.589539999994</v>
      </c>
      <c r="K968" s="5">
        <f t="shared" si="230"/>
        <v>2111.4927496435116</v>
      </c>
      <c r="L968" s="5">
        <f t="shared" si="226"/>
        <v>0.62250919521632742</v>
      </c>
      <c r="M968" s="5">
        <f t="shared" si="227"/>
        <v>0</v>
      </c>
      <c r="N968" s="5">
        <f t="shared" si="228"/>
        <v>18481.900000000001</v>
      </c>
    </row>
    <row r="969" spans="1:14" s="13" customFormat="1" ht="31.5" x14ac:dyDescent="0.25">
      <c r="A969" s="38">
        <v>15</v>
      </c>
      <c r="B969" s="34" t="s">
        <v>984</v>
      </c>
      <c r="C969" s="18">
        <v>15556000000</v>
      </c>
      <c r="D969" s="32" t="s">
        <v>2157</v>
      </c>
      <c r="E969" s="76">
        <v>4.3079999999999998</v>
      </c>
      <c r="F969" s="76">
        <v>4.0000000000000001E-3</v>
      </c>
      <c r="G969" s="5">
        <f t="shared" si="231"/>
        <v>4.3119999999999994</v>
      </c>
      <c r="H969" s="5">
        <v>2865.4258500000001</v>
      </c>
      <c r="I969" s="5"/>
      <c r="J969" s="5">
        <f t="shared" si="229"/>
        <v>2865.4258500000001</v>
      </c>
      <c r="K969" s="5">
        <f t="shared" si="230"/>
        <v>664.52362012987021</v>
      </c>
      <c r="L969" s="5">
        <f t="shared" si="226"/>
        <v>0.19591450836813304</v>
      </c>
      <c r="M969" s="5">
        <f t="shared" si="227"/>
        <v>0</v>
      </c>
      <c r="N969" s="5">
        <f t="shared" si="228"/>
        <v>8238.2999999999993</v>
      </c>
    </row>
    <row r="970" spans="1:14" s="13" customFormat="1" ht="15.75" x14ac:dyDescent="0.25">
      <c r="A970" s="38">
        <v>15</v>
      </c>
      <c r="B970" s="34" t="s">
        <v>984</v>
      </c>
      <c r="C970" s="18">
        <v>15557000000</v>
      </c>
      <c r="D970" s="32" t="s">
        <v>2158</v>
      </c>
      <c r="E970" s="76">
        <v>9.5120000000000005</v>
      </c>
      <c r="F970" s="76">
        <v>1.2E-2</v>
      </c>
      <c r="G970" s="5">
        <f t="shared" si="231"/>
        <v>9.5240000000000009</v>
      </c>
      <c r="H970" s="5">
        <v>6487.4976900000001</v>
      </c>
      <c r="I970" s="5"/>
      <c r="J970" s="5">
        <f t="shared" si="229"/>
        <v>6487.4976900000001</v>
      </c>
      <c r="K970" s="5">
        <f t="shared" si="230"/>
        <v>681.17363397732038</v>
      </c>
      <c r="L970" s="5">
        <f t="shared" si="226"/>
        <v>0.20082325679848725</v>
      </c>
      <c r="M970" s="5">
        <f t="shared" si="227"/>
        <v>0</v>
      </c>
      <c r="N970" s="5">
        <f t="shared" si="228"/>
        <v>18069.3</v>
      </c>
    </row>
    <row r="971" spans="1:14" s="13" customFormat="1" ht="31.5" x14ac:dyDescent="0.25">
      <c r="A971" s="38">
        <v>15</v>
      </c>
      <c r="B971" s="34" t="s">
        <v>984</v>
      </c>
      <c r="C971" s="18">
        <v>15558000000</v>
      </c>
      <c r="D971" s="32" t="s">
        <v>2159</v>
      </c>
      <c r="E971" s="76">
        <v>5.7380000000000004</v>
      </c>
      <c r="F971" s="76">
        <v>1.7000000000000001E-2</v>
      </c>
      <c r="G971" s="5">
        <f t="shared" si="231"/>
        <v>5.7550000000000008</v>
      </c>
      <c r="H971" s="5">
        <v>6360.9741199999999</v>
      </c>
      <c r="I971" s="5"/>
      <c r="J971" s="5">
        <f t="shared" si="229"/>
        <v>6360.9741199999999</v>
      </c>
      <c r="K971" s="5">
        <f t="shared" si="230"/>
        <v>1105.2952423979148</v>
      </c>
      <c r="L971" s="5">
        <f t="shared" si="226"/>
        <v>0.32586256899898314</v>
      </c>
      <c r="M971" s="5">
        <f t="shared" si="227"/>
        <v>0</v>
      </c>
      <c r="N971" s="5">
        <f t="shared" si="228"/>
        <v>8965.9</v>
      </c>
    </row>
    <row r="972" spans="1:14" s="13" customFormat="1" ht="31.5" x14ac:dyDescent="0.25">
      <c r="A972" s="38">
        <v>15</v>
      </c>
      <c r="B972" s="34" t="s">
        <v>984</v>
      </c>
      <c r="C972" s="18">
        <v>15559000000</v>
      </c>
      <c r="D972" s="32" t="s">
        <v>2160</v>
      </c>
      <c r="E972" s="76">
        <v>8.5050000000000008</v>
      </c>
      <c r="F972" s="76">
        <v>8.9999999999999993E-3</v>
      </c>
      <c r="G972" s="5">
        <f t="shared" si="231"/>
        <v>8.5140000000000011</v>
      </c>
      <c r="H972" s="5">
        <v>8903.827580000001</v>
      </c>
      <c r="I972" s="5"/>
      <c r="J972" s="5">
        <f t="shared" si="229"/>
        <v>8903.827580000001</v>
      </c>
      <c r="K972" s="5">
        <f t="shared" si="230"/>
        <v>1045.7866549213061</v>
      </c>
      <c r="L972" s="5">
        <f t="shared" si="226"/>
        <v>0.30831827816266444</v>
      </c>
      <c r="M972" s="5">
        <f t="shared" si="227"/>
        <v>0</v>
      </c>
      <c r="N972" s="5">
        <f t="shared" si="228"/>
        <v>13669.6</v>
      </c>
    </row>
    <row r="973" spans="1:14" s="13" customFormat="1" ht="31.5" x14ac:dyDescent="0.25">
      <c r="A973" s="38">
        <v>15</v>
      </c>
      <c r="B973" s="34" t="s">
        <v>985</v>
      </c>
      <c r="C973" s="18">
        <v>15560000000</v>
      </c>
      <c r="D973" s="32" t="s">
        <v>2161</v>
      </c>
      <c r="E973" s="76">
        <v>14.305999999999999</v>
      </c>
      <c r="F973" s="76">
        <v>4.5999999999999999E-2</v>
      </c>
      <c r="G973" s="5">
        <f t="shared" si="231"/>
        <v>14.351999999999999</v>
      </c>
      <c r="H973" s="5">
        <v>13830.204810000001</v>
      </c>
      <c r="I973" s="5"/>
      <c r="J973" s="5">
        <f t="shared" si="229"/>
        <v>13830.204810000001</v>
      </c>
      <c r="K973" s="5">
        <f t="shared" si="230"/>
        <v>963.64303302675603</v>
      </c>
      <c r="L973" s="5">
        <f t="shared" si="226"/>
        <v>0.28410073824150489</v>
      </c>
      <c r="M973" s="5">
        <f t="shared" si="227"/>
        <v>0</v>
      </c>
      <c r="N973" s="5">
        <f t="shared" si="228"/>
        <v>23985.9</v>
      </c>
    </row>
    <row r="974" spans="1:14" s="13" customFormat="1" ht="31.5" x14ac:dyDescent="0.25">
      <c r="A974" s="38">
        <v>15</v>
      </c>
      <c r="B974" s="34" t="s">
        <v>985</v>
      </c>
      <c r="C974" s="18">
        <v>15561000000</v>
      </c>
      <c r="D974" s="32" t="s">
        <v>2162</v>
      </c>
      <c r="E974" s="76">
        <v>7.1719999999999997</v>
      </c>
      <c r="F974" s="76">
        <v>1.0999999999999999E-2</v>
      </c>
      <c r="G974" s="5">
        <f t="shared" si="231"/>
        <v>7.1829999999999998</v>
      </c>
      <c r="H974" s="5">
        <v>16240.69312</v>
      </c>
      <c r="I974" s="5"/>
      <c r="J974" s="5">
        <f t="shared" si="229"/>
        <v>16240.69312</v>
      </c>
      <c r="K974" s="5">
        <f t="shared" si="230"/>
        <v>2260.9902714743143</v>
      </c>
      <c r="L974" s="5">
        <f t="shared" si="226"/>
        <v>0.66658397691635474</v>
      </c>
      <c r="M974" s="5">
        <f t="shared" si="227"/>
        <v>0</v>
      </c>
      <c r="N974" s="5">
        <f t="shared" si="228"/>
        <v>4549.6000000000004</v>
      </c>
    </row>
    <row r="975" spans="1:14" s="13" customFormat="1" ht="31.5" x14ac:dyDescent="0.25">
      <c r="A975" s="38">
        <v>15</v>
      </c>
      <c r="B975" s="34" t="s">
        <v>984</v>
      </c>
      <c r="C975" s="18">
        <v>15562000000</v>
      </c>
      <c r="D975" s="32" t="s">
        <v>2163</v>
      </c>
      <c r="E975" s="76">
        <v>12.606</v>
      </c>
      <c r="F975" s="76">
        <v>0.152</v>
      </c>
      <c r="G975" s="5">
        <f t="shared" si="231"/>
        <v>12.757999999999999</v>
      </c>
      <c r="H975" s="5">
        <v>52393.802460000006</v>
      </c>
      <c r="I975" s="5"/>
      <c r="J975" s="5">
        <f t="shared" si="229"/>
        <v>52393.802460000006</v>
      </c>
      <c r="K975" s="5">
        <f t="shared" si="230"/>
        <v>4106.7410612948743</v>
      </c>
      <c r="L975" s="5">
        <f t="shared" si="226"/>
        <v>1.2107472656300315</v>
      </c>
      <c r="M975" s="5">
        <f t="shared" si="227"/>
        <v>2396.1999999999998</v>
      </c>
      <c r="N975" s="5">
        <f t="shared" si="228"/>
        <v>0</v>
      </c>
    </row>
    <row r="976" spans="1:14" s="13" customFormat="1" ht="31.5" x14ac:dyDescent="0.25">
      <c r="A976" s="38">
        <v>15</v>
      </c>
      <c r="B976" s="34" t="s">
        <v>985</v>
      </c>
      <c r="C976" s="18">
        <v>15563000000</v>
      </c>
      <c r="D976" s="32" t="s">
        <v>2808</v>
      </c>
      <c r="E976" s="76">
        <v>15.497</v>
      </c>
      <c r="F976" s="76">
        <v>0.108</v>
      </c>
      <c r="G976" s="5">
        <f t="shared" si="231"/>
        <v>15.605</v>
      </c>
      <c r="H976" s="5">
        <v>58008.268179999999</v>
      </c>
      <c r="I976" s="5"/>
      <c r="J976" s="5">
        <f t="shared" si="229"/>
        <v>58008.268179999999</v>
      </c>
      <c r="K976" s="5">
        <f t="shared" si="230"/>
        <v>3717.2872912528032</v>
      </c>
      <c r="L976" s="5">
        <f t="shared" si="226"/>
        <v>1.0959287075252093</v>
      </c>
      <c r="M976" s="5">
        <f t="shared" si="227"/>
        <v>0</v>
      </c>
      <c r="N976" s="5">
        <f t="shared" si="228"/>
        <v>0</v>
      </c>
    </row>
    <row r="977" spans="1:14" s="13" customFormat="1" ht="15.75" x14ac:dyDescent="0.25">
      <c r="A977" s="38">
        <v>15</v>
      </c>
      <c r="B977" s="34" t="s">
        <v>986</v>
      </c>
      <c r="C977" s="18">
        <v>15564000000</v>
      </c>
      <c r="D977" s="32" t="s">
        <v>2164</v>
      </c>
      <c r="E977" s="76">
        <v>1015.826</v>
      </c>
      <c r="F977" s="76">
        <v>29.390999999999998</v>
      </c>
      <c r="G977" s="5">
        <f t="shared" si="231"/>
        <v>1045.2170000000001</v>
      </c>
      <c r="H977" s="5">
        <v>4675549.7718199994</v>
      </c>
      <c r="I977" s="5">
        <f>(5.466+0.656+4.15696+1.3+63.4+22.8+34.056+18.2+1.9+183.9)*0.6</f>
        <v>201.50097600000001</v>
      </c>
      <c r="J977" s="5">
        <f t="shared" si="229"/>
        <v>4675751.2727959994</v>
      </c>
      <c r="K977" s="5">
        <f t="shared" si="230"/>
        <v>4473.4741903317672</v>
      </c>
      <c r="L977" s="5">
        <f t="shared" ref="L977:L1005" si="232">K977/$K$1659</f>
        <v>1.318867336160449</v>
      </c>
      <c r="M977" s="5">
        <f t="shared" si="227"/>
        <v>387972.8</v>
      </c>
      <c r="N977" s="5">
        <f t="shared" si="228"/>
        <v>0</v>
      </c>
    </row>
    <row r="978" spans="1:14" s="13" customFormat="1" ht="15.75" x14ac:dyDescent="0.25">
      <c r="A978" s="38">
        <v>15</v>
      </c>
      <c r="B978" s="34" t="s">
        <v>984</v>
      </c>
      <c r="C978" s="18">
        <v>15565000000</v>
      </c>
      <c r="D978" s="32" t="s">
        <v>1164</v>
      </c>
      <c r="E978" s="76">
        <v>5.1340000000000003</v>
      </c>
      <c r="F978" s="76">
        <v>1.6E-2</v>
      </c>
      <c r="G978" s="5">
        <f t="shared" si="231"/>
        <v>5.15</v>
      </c>
      <c r="H978" s="5">
        <v>5279.4960200000005</v>
      </c>
      <c r="I978" s="5"/>
      <c r="J978" s="5">
        <f t="shared" si="229"/>
        <v>5279.4960200000005</v>
      </c>
      <c r="K978" s="5">
        <f t="shared" si="230"/>
        <v>1025.1448582524272</v>
      </c>
      <c r="L978" s="5">
        <f t="shared" si="232"/>
        <v>0.30223267439521967</v>
      </c>
      <c r="M978" s="5">
        <f t="shared" ref="M978:M1004" si="233">ROUND(IF(L978&lt;110%,0,(K978-$K$1659*1.1)*0.5)*G978,1)</f>
        <v>0</v>
      </c>
      <c r="N978" s="5">
        <f t="shared" ref="N978:N1004" si="234">ROUND(IF(L978&gt;90%,0,(-K978+$K$1659*0.9)*0.8)*G978,1)</f>
        <v>8353.6</v>
      </c>
    </row>
    <row r="979" spans="1:14" s="13" customFormat="1" ht="31.5" x14ac:dyDescent="0.25">
      <c r="A979" s="38">
        <v>15</v>
      </c>
      <c r="B979" s="34" t="s">
        <v>984</v>
      </c>
      <c r="C979" s="18">
        <v>15566000000</v>
      </c>
      <c r="D979" s="32" t="s">
        <v>2165</v>
      </c>
      <c r="E979" s="76">
        <v>7.7530000000000001</v>
      </c>
      <c r="F979" s="76">
        <v>0</v>
      </c>
      <c r="G979" s="5">
        <f t="shared" si="231"/>
        <v>7.7530000000000001</v>
      </c>
      <c r="H979" s="5">
        <v>7047.4529400000001</v>
      </c>
      <c r="I979" s="5"/>
      <c r="J979" s="5">
        <f t="shared" si="229"/>
        <v>7047.4529400000001</v>
      </c>
      <c r="K979" s="5">
        <f t="shared" si="230"/>
        <v>908.99689668515418</v>
      </c>
      <c r="L979" s="5">
        <f t="shared" si="232"/>
        <v>0.26798999272204449</v>
      </c>
      <c r="M979" s="5">
        <f t="shared" si="233"/>
        <v>0</v>
      </c>
      <c r="N979" s="5">
        <f t="shared" si="234"/>
        <v>13296.2</v>
      </c>
    </row>
    <row r="980" spans="1:14" s="13" customFormat="1" ht="15.75" x14ac:dyDescent="0.25">
      <c r="A980" s="38">
        <v>15</v>
      </c>
      <c r="B980" s="34" t="s">
        <v>984</v>
      </c>
      <c r="C980" s="18">
        <v>15567000000</v>
      </c>
      <c r="D980" s="32" t="s">
        <v>1270</v>
      </c>
      <c r="E980" s="76">
        <v>5.3010000000000002</v>
      </c>
      <c r="F980" s="76">
        <v>8.9999999999999993E-3</v>
      </c>
      <c r="G980" s="5">
        <f t="shared" si="231"/>
        <v>5.3100000000000005</v>
      </c>
      <c r="H980" s="5">
        <v>7808.6326399999998</v>
      </c>
      <c r="I980" s="5"/>
      <c r="J980" s="5">
        <f t="shared" si="229"/>
        <v>7808.6326399999998</v>
      </c>
      <c r="K980" s="5">
        <f t="shared" si="230"/>
        <v>1470.552286252354</v>
      </c>
      <c r="L980" s="5">
        <f t="shared" si="232"/>
        <v>0.43354746086295481</v>
      </c>
      <c r="M980" s="5">
        <f t="shared" si="233"/>
        <v>0</v>
      </c>
      <c r="N980" s="5">
        <f t="shared" si="234"/>
        <v>6721</v>
      </c>
    </row>
    <row r="981" spans="1:14" s="13" customFormat="1" ht="31.5" x14ac:dyDescent="0.25">
      <c r="A981" s="38">
        <v>15</v>
      </c>
      <c r="B981" s="34" t="s">
        <v>984</v>
      </c>
      <c r="C981" s="18">
        <v>15568000000</v>
      </c>
      <c r="D981" s="32" t="s">
        <v>2166</v>
      </c>
      <c r="E981" s="76">
        <v>8.2579999999999991</v>
      </c>
      <c r="F981" s="76">
        <v>6.0000000000000001E-3</v>
      </c>
      <c r="G981" s="5">
        <f t="shared" si="231"/>
        <v>8.2639999999999993</v>
      </c>
      <c r="H981" s="5">
        <v>8789.7767499999991</v>
      </c>
      <c r="I981" s="5"/>
      <c r="J981" s="5">
        <f t="shared" si="229"/>
        <v>8789.7767499999991</v>
      </c>
      <c r="K981" s="5">
        <f t="shared" si="230"/>
        <v>1063.6225496127784</v>
      </c>
      <c r="L981" s="5">
        <f t="shared" si="232"/>
        <v>0.3135766473672123</v>
      </c>
      <c r="M981" s="5">
        <f t="shared" si="233"/>
        <v>0</v>
      </c>
      <c r="N981" s="5">
        <f t="shared" si="234"/>
        <v>13150.3</v>
      </c>
    </row>
    <row r="982" spans="1:14" s="13" customFormat="1" ht="15.75" x14ac:dyDescent="0.25">
      <c r="A982" s="38">
        <v>15</v>
      </c>
      <c r="B982" s="34" t="s">
        <v>986</v>
      </c>
      <c r="C982" s="18">
        <v>15569000000</v>
      </c>
      <c r="D982" s="32" t="s">
        <v>2167</v>
      </c>
      <c r="E982" s="76">
        <v>43.158000000000001</v>
      </c>
      <c r="F982" s="76">
        <v>0.105</v>
      </c>
      <c r="G982" s="5">
        <f t="shared" si="231"/>
        <v>43.262999999999998</v>
      </c>
      <c r="H982" s="5">
        <v>145500.71883</v>
      </c>
      <c r="I982" s="5"/>
      <c r="J982" s="5">
        <f t="shared" si="229"/>
        <v>145500.71883</v>
      </c>
      <c r="K982" s="5">
        <f t="shared" si="230"/>
        <v>3363.1675757575758</v>
      </c>
      <c r="L982" s="5">
        <f t="shared" si="232"/>
        <v>0.99152731702060704</v>
      </c>
      <c r="M982" s="5">
        <f t="shared" si="233"/>
        <v>0</v>
      </c>
      <c r="N982" s="5">
        <f t="shared" si="234"/>
        <v>0</v>
      </c>
    </row>
    <row r="983" spans="1:14" s="13" customFormat="1" ht="15.75" x14ac:dyDescent="0.25">
      <c r="A983" s="38">
        <v>15</v>
      </c>
      <c r="B983" s="34" t="s">
        <v>985</v>
      </c>
      <c r="C983" s="18">
        <v>15570000000</v>
      </c>
      <c r="D983" s="32" t="s">
        <v>2168</v>
      </c>
      <c r="E983" s="76">
        <v>7.8490000000000002</v>
      </c>
      <c r="F983" s="76">
        <v>0.02</v>
      </c>
      <c r="G983" s="5">
        <f t="shared" si="231"/>
        <v>7.8689999999999998</v>
      </c>
      <c r="H983" s="5">
        <v>7264.1797400000014</v>
      </c>
      <c r="I983" s="5"/>
      <c r="J983" s="5">
        <f t="shared" ref="J983:J1004" si="235">H983+I983</f>
        <v>7264.1797400000014</v>
      </c>
      <c r="K983" s="5">
        <f t="shared" ref="K983:K1005" si="236">J983/G983</f>
        <v>923.13886643792114</v>
      </c>
      <c r="L983" s="5">
        <f t="shared" si="232"/>
        <v>0.27215932089570505</v>
      </c>
      <c r="M983" s="5">
        <f t="shared" si="233"/>
        <v>0</v>
      </c>
      <c r="N983" s="5">
        <f t="shared" si="234"/>
        <v>13406.1</v>
      </c>
    </row>
    <row r="984" spans="1:14" s="13" customFormat="1" ht="15.75" x14ac:dyDescent="0.25">
      <c r="A984" s="38">
        <v>15</v>
      </c>
      <c r="B984" s="34" t="s">
        <v>983</v>
      </c>
      <c r="C984" s="18">
        <v>15571000000</v>
      </c>
      <c r="D984" s="32" t="s">
        <v>2169</v>
      </c>
      <c r="E984" s="76">
        <v>35.637</v>
      </c>
      <c r="F984" s="76">
        <v>6.5000000000000002E-2</v>
      </c>
      <c r="G984" s="5">
        <f t="shared" ref="G984:G1004" si="237">F984+E984</f>
        <v>35.701999999999998</v>
      </c>
      <c r="H984" s="5">
        <v>57715.607040000003</v>
      </c>
      <c r="I984" s="5"/>
      <c r="J984" s="5">
        <f t="shared" si="235"/>
        <v>57715.607040000003</v>
      </c>
      <c r="K984" s="5">
        <f t="shared" si="236"/>
        <v>1616.5931051481712</v>
      </c>
      <c r="L984" s="5">
        <f t="shared" si="232"/>
        <v>0.4766031391999595</v>
      </c>
      <c r="M984" s="5">
        <f t="shared" si="233"/>
        <v>0</v>
      </c>
      <c r="N984" s="5">
        <f t="shared" si="234"/>
        <v>41018</v>
      </c>
    </row>
    <row r="985" spans="1:14" s="13" customFormat="1" ht="31.5" x14ac:dyDescent="0.25">
      <c r="A985" s="38">
        <v>15</v>
      </c>
      <c r="B985" s="34" t="s">
        <v>983</v>
      </c>
      <c r="C985" s="18">
        <v>15572000000</v>
      </c>
      <c r="D985" s="32" t="s">
        <v>2170</v>
      </c>
      <c r="E985" s="76">
        <v>32.878</v>
      </c>
      <c r="F985" s="76">
        <v>0.154</v>
      </c>
      <c r="G985" s="5">
        <f t="shared" si="237"/>
        <v>33.032000000000004</v>
      </c>
      <c r="H985" s="5">
        <v>57732.459879999988</v>
      </c>
      <c r="I985" s="5"/>
      <c r="J985" s="5">
        <f t="shared" si="235"/>
        <v>57732.459879999988</v>
      </c>
      <c r="K985" s="5">
        <f t="shared" si="236"/>
        <v>1747.7736703802368</v>
      </c>
      <c r="L985" s="5">
        <f t="shared" si="232"/>
        <v>0.51527772527392213</v>
      </c>
      <c r="M985" s="5">
        <f t="shared" si="233"/>
        <v>0</v>
      </c>
      <c r="N985" s="5">
        <f t="shared" si="234"/>
        <v>34483.9</v>
      </c>
    </row>
    <row r="986" spans="1:14" s="13" customFormat="1" ht="31.5" x14ac:dyDescent="0.25">
      <c r="A986" s="38">
        <v>15</v>
      </c>
      <c r="B986" s="34" t="s">
        <v>985</v>
      </c>
      <c r="C986" s="18">
        <v>15573000000</v>
      </c>
      <c r="D986" s="32" t="s">
        <v>2171</v>
      </c>
      <c r="E986" s="76">
        <v>17.959</v>
      </c>
      <c r="F986" s="76">
        <v>4.2000000000000003E-2</v>
      </c>
      <c r="G986" s="5">
        <f t="shared" si="237"/>
        <v>18.001000000000001</v>
      </c>
      <c r="H986" s="5">
        <v>30574.573259999997</v>
      </c>
      <c r="I986" s="5"/>
      <c r="J986" s="5">
        <f t="shared" si="235"/>
        <v>30574.573259999997</v>
      </c>
      <c r="K986" s="5">
        <f t="shared" si="236"/>
        <v>1698.4930426087437</v>
      </c>
      <c r="L986" s="5">
        <f t="shared" si="232"/>
        <v>0.50074883620292399</v>
      </c>
      <c r="M986" s="5">
        <f t="shared" si="233"/>
        <v>0</v>
      </c>
      <c r="N986" s="5">
        <f t="shared" si="234"/>
        <v>19501.900000000001</v>
      </c>
    </row>
    <row r="987" spans="1:14" s="13" customFormat="1" ht="15.75" x14ac:dyDescent="0.25">
      <c r="A987" s="38">
        <v>15</v>
      </c>
      <c r="B987" s="34" t="s">
        <v>985</v>
      </c>
      <c r="C987" s="18">
        <v>15574000000</v>
      </c>
      <c r="D987" s="32" t="s">
        <v>2172</v>
      </c>
      <c r="E987" s="76">
        <v>16.648</v>
      </c>
      <c r="F987" s="76">
        <v>1.9E-2</v>
      </c>
      <c r="G987" s="5">
        <f t="shared" si="237"/>
        <v>16.666999999999998</v>
      </c>
      <c r="H987" s="5">
        <v>43650.137489999994</v>
      </c>
      <c r="I987" s="5"/>
      <c r="J987" s="5">
        <f t="shared" si="235"/>
        <v>43650.137489999994</v>
      </c>
      <c r="K987" s="5">
        <f t="shared" si="236"/>
        <v>2618.9558702825943</v>
      </c>
      <c r="L987" s="5">
        <f t="shared" si="232"/>
        <v>0.77211920874080464</v>
      </c>
      <c r="M987" s="5">
        <f t="shared" si="233"/>
        <v>0</v>
      </c>
      <c r="N987" s="5">
        <f t="shared" si="234"/>
        <v>5783.6</v>
      </c>
    </row>
    <row r="988" spans="1:14" s="13" customFormat="1" ht="31.5" x14ac:dyDescent="0.25">
      <c r="A988" s="38">
        <v>15</v>
      </c>
      <c r="B988" s="34" t="s">
        <v>984</v>
      </c>
      <c r="C988" s="18">
        <v>15575000000</v>
      </c>
      <c r="D988" s="32" t="s">
        <v>2841</v>
      </c>
      <c r="E988" s="76">
        <v>42.588000000000001</v>
      </c>
      <c r="F988" s="76">
        <v>5.1999999999999998E-2</v>
      </c>
      <c r="G988" s="5">
        <f t="shared" si="237"/>
        <v>42.64</v>
      </c>
      <c r="H988" s="5">
        <v>39850.429210000002</v>
      </c>
      <c r="I988" s="5"/>
      <c r="J988" s="5">
        <f t="shared" si="235"/>
        <v>39850.429210000002</v>
      </c>
      <c r="K988" s="5">
        <f t="shared" si="236"/>
        <v>934.57854620075045</v>
      </c>
      <c r="L988" s="5">
        <f t="shared" si="232"/>
        <v>0.27553196133877245</v>
      </c>
      <c r="M988" s="5">
        <f t="shared" si="233"/>
        <v>0</v>
      </c>
      <c r="N988" s="5">
        <f t="shared" si="234"/>
        <v>72253.899999999994</v>
      </c>
    </row>
    <row r="989" spans="1:14" s="13" customFormat="1" ht="31.5" x14ac:dyDescent="0.25">
      <c r="A989" s="38">
        <v>15</v>
      </c>
      <c r="B989" s="34" t="s">
        <v>985</v>
      </c>
      <c r="C989" s="18">
        <v>15576000000</v>
      </c>
      <c r="D989" s="32" t="s">
        <v>2173</v>
      </c>
      <c r="E989" s="76">
        <v>9.4250000000000007</v>
      </c>
      <c r="F989" s="76">
        <v>0.155</v>
      </c>
      <c r="G989" s="5">
        <f t="shared" si="237"/>
        <v>9.58</v>
      </c>
      <c r="H989" s="5">
        <v>14812.91871</v>
      </c>
      <c r="I989" s="5"/>
      <c r="J989" s="5">
        <f t="shared" si="235"/>
        <v>14812.91871</v>
      </c>
      <c r="K989" s="5">
        <f t="shared" si="236"/>
        <v>1546.2336858037579</v>
      </c>
      <c r="L989" s="5">
        <f t="shared" si="232"/>
        <v>0.45585981175099072</v>
      </c>
      <c r="M989" s="5">
        <f t="shared" si="233"/>
        <v>0</v>
      </c>
      <c r="N989" s="5">
        <f t="shared" si="234"/>
        <v>11545.7</v>
      </c>
    </row>
    <row r="990" spans="1:14" s="13" customFormat="1" ht="31.5" x14ac:dyDescent="0.25">
      <c r="A990" s="38">
        <v>15</v>
      </c>
      <c r="B990" s="34" t="s">
        <v>985</v>
      </c>
      <c r="C990" s="18">
        <v>15577000000</v>
      </c>
      <c r="D990" s="32" t="s">
        <v>2174</v>
      </c>
      <c r="E990" s="76">
        <v>3.4630000000000001</v>
      </c>
      <c r="F990" s="76">
        <v>1.4E-2</v>
      </c>
      <c r="G990" s="5">
        <f t="shared" si="237"/>
        <v>3.4769999999999999</v>
      </c>
      <c r="H990" s="5">
        <v>4261.6220400000002</v>
      </c>
      <c r="I990" s="5"/>
      <c r="J990" s="5">
        <f t="shared" si="235"/>
        <v>4261.6220400000002</v>
      </c>
      <c r="K990" s="5">
        <f t="shared" si="236"/>
        <v>1225.6606384814497</v>
      </c>
      <c r="L990" s="5">
        <f t="shared" si="232"/>
        <v>0.36134863252466004</v>
      </c>
      <c r="M990" s="5">
        <f t="shared" si="233"/>
        <v>0</v>
      </c>
      <c r="N990" s="5">
        <f t="shared" si="234"/>
        <v>5082.1000000000004</v>
      </c>
    </row>
    <row r="991" spans="1:14" s="13" customFormat="1" ht="31.5" x14ac:dyDescent="0.25">
      <c r="A991" s="38">
        <v>15</v>
      </c>
      <c r="B991" s="34" t="s">
        <v>984</v>
      </c>
      <c r="C991" s="18">
        <v>15578000000</v>
      </c>
      <c r="D991" s="32" t="s">
        <v>2175</v>
      </c>
      <c r="E991" s="76">
        <v>4.5179999999999998</v>
      </c>
      <c r="F991" s="76">
        <v>2E-3</v>
      </c>
      <c r="G991" s="5">
        <f t="shared" si="237"/>
        <v>4.5199999999999996</v>
      </c>
      <c r="H991" s="5">
        <v>6907.1800999999996</v>
      </c>
      <c r="I991" s="5"/>
      <c r="J991" s="5">
        <f t="shared" si="235"/>
        <v>6907.1800999999996</v>
      </c>
      <c r="K991" s="5">
        <f t="shared" si="236"/>
        <v>1528.1371902654869</v>
      </c>
      <c r="L991" s="5">
        <f t="shared" si="232"/>
        <v>0.45052461234021041</v>
      </c>
      <c r="M991" s="5">
        <f t="shared" si="233"/>
        <v>0</v>
      </c>
      <c r="N991" s="5">
        <f t="shared" si="234"/>
        <v>5512.9</v>
      </c>
    </row>
    <row r="992" spans="1:14" s="13" customFormat="1" ht="31.5" x14ac:dyDescent="0.25">
      <c r="A992" s="38">
        <v>15</v>
      </c>
      <c r="B992" s="34" t="s">
        <v>984</v>
      </c>
      <c r="C992" s="18">
        <v>15579000000</v>
      </c>
      <c r="D992" s="32" t="s">
        <v>2176</v>
      </c>
      <c r="E992" s="76">
        <v>7.008</v>
      </c>
      <c r="F992" s="76">
        <v>1.7999999999999999E-2</v>
      </c>
      <c r="G992" s="5">
        <f t="shared" si="237"/>
        <v>7.0259999999999998</v>
      </c>
      <c r="H992" s="5">
        <v>17206.079819999999</v>
      </c>
      <c r="I992" s="5"/>
      <c r="J992" s="5">
        <f t="shared" si="235"/>
        <v>17206.079819999999</v>
      </c>
      <c r="K992" s="5">
        <f t="shared" si="236"/>
        <v>2448.9154312553374</v>
      </c>
      <c r="L992" s="5">
        <f t="shared" si="232"/>
        <v>0.72198797486801025</v>
      </c>
      <c r="M992" s="5">
        <f t="shared" si="233"/>
        <v>0</v>
      </c>
      <c r="N992" s="5">
        <f t="shared" si="234"/>
        <v>3393.8</v>
      </c>
    </row>
    <row r="993" spans="1:14" s="13" customFormat="1" ht="31.5" x14ac:dyDescent="0.25">
      <c r="A993" s="38">
        <v>15</v>
      </c>
      <c r="B993" s="34" t="s">
        <v>984</v>
      </c>
      <c r="C993" s="18">
        <v>15580000000</v>
      </c>
      <c r="D993" s="32" t="s">
        <v>2177</v>
      </c>
      <c r="E993" s="76">
        <v>2.7850000000000001</v>
      </c>
      <c r="F993" s="76">
        <v>3.0000000000000001E-3</v>
      </c>
      <c r="G993" s="5">
        <f t="shared" si="237"/>
        <v>2.7880000000000003</v>
      </c>
      <c r="H993" s="5">
        <v>2734.4959099999996</v>
      </c>
      <c r="I993" s="5"/>
      <c r="J993" s="5">
        <f t="shared" si="235"/>
        <v>2734.4959099999996</v>
      </c>
      <c r="K993" s="5">
        <f t="shared" si="236"/>
        <v>980.80914992826376</v>
      </c>
      <c r="L993" s="5">
        <f t="shared" si="232"/>
        <v>0.2891616439060643</v>
      </c>
      <c r="M993" s="5">
        <f t="shared" si="233"/>
        <v>0</v>
      </c>
      <c r="N993" s="5">
        <f t="shared" si="234"/>
        <v>4621.2</v>
      </c>
    </row>
    <row r="994" spans="1:14" s="13" customFormat="1" ht="31.5" x14ac:dyDescent="0.25">
      <c r="A994" s="38">
        <v>15</v>
      </c>
      <c r="B994" s="34" t="s">
        <v>985</v>
      </c>
      <c r="C994" s="18">
        <v>15581000000</v>
      </c>
      <c r="D994" s="32" t="s">
        <v>2178</v>
      </c>
      <c r="E994" s="76">
        <v>11.916</v>
      </c>
      <c r="F994" s="76">
        <v>0.01</v>
      </c>
      <c r="G994" s="5">
        <f t="shared" si="237"/>
        <v>11.926</v>
      </c>
      <c r="H994" s="5">
        <v>10000.641450000001</v>
      </c>
      <c r="I994" s="5"/>
      <c r="J994" s="5">
        <f t="shared" si="235"/>
        <v>10000.641450000001</v>
      </c>
      <c r="K994" s="5">
        <f t="shared" si="236"/>
        <v>838.55789451618318</v>
      </c>
      <c r="L994" s="5">
        <f t="shared" si="232"/>
        <v>0.24722320270609471</v>
      </c>
      <c r="M994" s="5">
        <f t="shared" si="233"/>
        <v>0</v>
      </c>
      <c r="N994" s="5">
        <f t="shared" si="234"/>
        <v>21124.799999999999</v>
      </c>
    </row>
    <row r="995" spans="1:14" s="13" customFormat="1" ht="31.5" x14ac:dyDescent="0.25">
      <c r="A995" s="38">
        <v>15</v>
      </c>
      <c r="B995" s="34" t="s">
        <v>985</v>
      </c>
      <c r="C995" s="18">
        <v>15582000000</v>
      </c>
      <c r="D995" s="32" t="s">
        <v>2179</v>
      </c>
      <c r="E995" s="76">
        <v>20.920999999999999</v>
      </c>
      <c r="F995" s="76">
        <v>0.04</v>
      </c>
      <c r="G995" s="5">
        <f t="shared" si="237"/>
        <v>20.960999999999999</v>
      </c>
      <c r="H995" s="5">
        <v>37626.398100000006</v>
      </c>
      <c r="I995" s="5"/>
      <c r="J995" s="5">
        <f t="shared" si="235"/>
        <v>37626.398100000006</v>
      </c>
      <c r="K995" s="5">
        <f t="shared" si="236"/>
        <v>1795.066938600258</v>
      </c>
      <c r="L995" s="5">
        <f t="shared" si="232"/>
        <v>0.52922070203468341</v>
      </c>
      <c r="M995" s="5">
        <f t="shared" si="233"/>
        <v>0</v>
      </c>
      <c r="N995" s="5">
        <f t="shared" si="234"/>
        <v>21089.3</v>
      </c>
    </row>
    <row r="996" spans="1:14" s="13" customFormat="1" ht="31.5" x14ac:dyDescent="0.25">
      <c r="A996" s="38">
        <v>15</v>
      </c>
      <c r="B996" s="34" t="s">
        <v>983</v>
      </c>
      <c r="C996" s="18">
        <v>15583000000</v>
      </c>
      <c r="D996" s="32" t="s">
        <v>2180</v>
      </c>
      <c r="E996" s="76">
        <v>24.050999999999998</v>
      </c>
      <c r="F996" s="76">
        <v>4.9000000000000002E-2</v>
      </c>
      <c r="G996" s="5">
        <f t="shared" si="237"/>
        <v>24.099999999999998</v>
      </c>
      <c r="H996" s="5">
        <v>37146.378929999992</v>
      </c>
      <c r="I996" s="5"/>
      <c r="J996" s="5">
        <f t="shared" si="235"/>
        <v>37146.378929999992</v>
      </c>
      <c r="K996" s="5">
        <f t="shared" si="236"/>
        <v>1541.3435240663898</v>
      </c>
      <c r="L996" s="5">
        <f t="shared" si="232"/>
        <v>0.45441809680874401</v>
      </c>
      <c r="M996" s="5">
        <f t="shared" si="233"/>
        <v>0</v>
      </c>
      <c r="N996" s="5">
        <f t="shared" si="234"/>
        <v>29139.3</v>
      </c>
    </row>
    <row r="997" spans="1:14" s="13" customFormat="1" ht="15.75" x14ac:dyDescent="0.25">
      <c r="A997" s="38">
        <v>15</v>
      </c>
      <c r="B997" s="34" t="s">
        <v>984</v>
      </c>
      <c r="C997" s="18">
        <v>15584000000</v>
      </c>
      <c r="D997" s="32" t="s">
        <v>2181</v>
      </c>
      <c r="E997" s="76">
        <v>5.5110000000000001</v>
      </c>
      <c r="F997" s="76">
        <v>0.01</v>
      </c>
      <c r="G997" s="5">
        <f t="shared" si="237"/>
        <v>5.5209999999999999</v>
      </c>
      <c r="H997" s="5">
        <v>7075.5843199999999</v>
      </c>
      <c r="I997" s="5"/>
      <c r="J997" s="5">
        <f t="shared" si="235"/>
        <v>7075.5843199999999</v>
      </c>
      <c r="K997" s="5">
        <f t="shared" si="236"/>
        <v>1281.5765839521825</v>
      </c>
      <c r="L997" s="5">
        <f t="shared" si="232"/>
        <v>0.3778337425117167</v>
      </c>
      <c r="M997" s="5">
        <f t="shared" si="233"/>
        <v>0</v>
      </c>
      <c r="N997" s="5">
        <f t="shared" si="234"/>
        <v>7822.8</v>
      </c>
    </row>
    <row r="998" spans="1:14" s="13" customFormat="1" ht="31.5" x14ac:dyDescent="0.25">
      <c r="A998" s="38">
        <v>15</v>
      </c>
      <c r="B998" s="34" t="s">
        <v>986</v>
      </c>
      <c r="C998" s="18">
        <v>15585000000</v>
      </c>
      <c r="D998" s="32" t="s">
        <v>2182</v>
      </c>
      <c r="E998" s="76">
        <v>10.081</v>
      </c>
      <c r="F998" s="76">
        <v>5.0999999999999997E-2</v>
      </c>
      <c r="G998" s="5">
        <f t="shared" si="237"/>
        <v>10.132</v>
      </c>
      <c r="H998" s="5">
        <v>13164.773630000002</v>
      </c>
      <c r="I998" s="5"/>
      <c r="J998" s="5">
        <f t="shared" si="235"/>
        <v>13164.773630000002</v>
      </c>
      <c r="K998" s="5">
        <f t="shared" si="236"/>
        <v>1299.3262564153181</v>
      </c>
      <c r="L998" s="5">
        <f t="shared" si="232"/>
        <v>0.38306669172371155</v>
      </c>
      <c r="M998" s="5">
        <f t="shared" si="233"/>
        <v>0</v>
      </c>
      <c r="N998" s="5">
        <f t="shared" si="234"/>
        <v>14212.3</v>
      </c>
    </row>
    <row r="999" spans="1:14" s="13" customFormat="1" ht="15.75" x14ac:dyDescent="0.25">
      <c r="A999" s="38">
        <v>15</v>
      </c>
      <c r="B999" s="34" t="s">
        <v>984</v>
      </c>
      <c r="C999" s="18">
        <v>15586000000</v>
      </c>
      <c r="D999" s="32" t="s">
        <v>2183</v>
      </c>
      <c r="E999" s="76">
        <v>14.891</v>
      </c>
      <c r="F999" s="76">
        <v>2.8000000000000001E-2</v>
      </c>
      <c r="G999" s="5">
        <f t="shared" si="237"/>
        <v>14.919</v>
      </c>
      <c r="H999" s="5">
        <v>44580.726309999998</v>
      </c>
      <c r="I999" s="5"/>
      <c r="J999" s="5">
        <f t="shared" si="235"/>
        <v>44580.726309999998</v>
      </c>
      <c r="K999" s="5">
        <f t="shared" si="236"/>
        <v>2988.1846176017157</v>
      </c>
      <c r="L999" s="5">
        <f t="shared" si="232"/>
        <v>0.88097503615634509</v>
      </c>
      <c r="M999" s="5">
        <f t="shared" si="233"/>
        <v>0</v>
      </c>
      <c r="N999" s="5">
        <f t="shared" si="234"/>
        <v>770.2</v>
      </c>
    </row>
    <row r="1000" spans="1:14" s="13" customFormat="1" ht="31.5" x14ac:dyDescent="0.25">
      <c r="A1000" s="38">
        <v>15</v>
      </c>
      <c r="B1000" s="34" t="s">
        <v>984</v>
      </c>
      <c r="C1000" s="18">
        <v>15587000000</v>
      </c>
      <c r="D1000" s="32" t="s">
        <v>2184</v>
      </c>
      <c r="E1000" s="76">
        <v>7.0449999999999999</v>
      </c>
      <c r="F1000" s="76">
        <v>0.02</v>
      </c>
      <c r="G1000" s="5">
        <f t="shared" si="237"/>
        <v>7.0649999999999995</v>
      </c>
      <c r="H1000" s="5">
        <v>10363.037990000001</v>
      </c>
      <c r="I1000" s="5"/>
      <c r="J1000" s="5">
        <f t="shared" si="235"/>
        <v>10363.037990000001</v>
      </c>
      <c r="K1000" s="5">
        <f t="shared" si="236"/>
        <v>1466.8135866949754</v>
      </c>
      <c r="L1000" s="5">
        <f t="shared" si="232"/>
        <v>0.43244521940225722</v>
      </c>
      <c r="M1000" s="5">
        <f t="shared" si="233"/>
        <v>0</v>
      </c>
      <c r="N1000" s="5">
        <f t="shared" si="234"/>
        <v>8963.5</v>
      </c>
    </row>
    <row r="1001" spans="1:14" s="13" customFormat="1" ht="31.5" x14ac:dyDescent="0.25">
      <c r="A1001" s="38">
        <v>15</v>
      </c>
      <c r="B1001" s="34" t="s">
        <v>984</v>
      </c>
      <c r="C1001" s="18">
        <v>15588000000</v>
      </c>
      <c r="D1001" s="32" t="s">
        <v>2185</v>
      </c>
      <c r="E1001" s="76">
        <v>18.018999999999998</v>
      </c>
      <c r="F1001" s="76">
        <v>0.442</v>
      </c>
      <c r="G1001" s="5">
        <f t="shared" si="237"/>
        <v>18.460999999999999</v>
      </c>
      <c r="H1001" s="5">
        <v>52239.603860000003</v>
      </c>
      <c r="I1001" s="5"/>
      <c r="J1001" s="5">
        <f t="shared" si="235"/>
        <v>52239.603860000003</v>
      </c>
      <c r="K1001" s="5">
        <f t="shared" si="236"/>
        <v>2829.7277428091656</v>
      </c>
      <c r="L1001" s="5">
        <f t="shared" si="232"/>
        <v>0.83425886267184768</v>
      </c>
      <c r="M1001" s="5">
        <f t="shared" si="233"/>
        <v>0</v>
      </c>
      <c r="N1001" s="5">
        <f t="shared" si="234"/>
        <v>3293.3</v>
      </c>
    </row>
    <row r="1002" spans="1:14" s="13" customFormat="1" ht="31.5" x14ac:dyDescent="0.25">
      <c r="A1002" s="38">
        <v>15</v>
      </c>
      <c r="B1002" s="34" t="s">
        <v>986</v>
      </c>
      <c r="C1002" s="18">
        <v>15589000000</v>
      </c>
      <c r="D1002" s="32" t="s">
        <v>2186</v>
      </c>
      <c r="E1002" s="76">
        <v>71.308000000000007</v>
      </c>
      <c r="F1002" s="76">
        <v>1.397</v>
      </c>
      <c r="G1002" s="5">
        <f t="shared" si="237"/>
        <v>72.705000000000013</v>
      </c>
      <c r="H1002" s="5">
        <v>363699.08442999999</v>
      </c>
      <c r="I1002" s="5"/>
      <c r="J1002" s="5">
        <f t="shared" si="235"/>
        <v>363699.08442999999</v>
      </c>
      <c r="K1002" s="5">
        <f t="shared" si="236"/>
        <v>5002.3943941957214</v>
      </c>
      <c r="L1002" s="5">
        <f t="shared" si="232"/>
        <v>1.4748033158111467</v>
      </c>
      <c r="M1002" s="5">
        <f t="shared" si="233"/>
        <v>46214.8</v>
      </c>
      <c r="N1002" s="5">
        <f t="shared" si="234"/>
        <v>0</v>
      </c>
    </row>
    <row r="1003" spans="1:14" s="13" customFormat="1" ht="31.5" x14ac:dyDescent="0.25">
      <c r="A1003" s="38">
        <v>15</v>
      </c>
      <c r="B1003" s="34" t="s">
        <v>985</v>
      </c>
      <c r="C1003" s="18">
        <v>15590000000</v>
      </c>
      <c r="D1003" s="32" t="s">
        <v>2187</v>
      </c>
      <c r="E1003" s="76">
        <v>7.9530000000000003</v>
      </c>
      <c r="F1003" s="76">
        <v>6.5000000000000002E-2</v>
      </c>
      <c r="G1003" s="5">
        <f t="shared" si="237"/>
        <v>8.0180000000000007</v>
      </c>
      <c r="H1003" s="5">
        <v>66016.33524</v>
      </c>
      <c r="I1003" s="5"/>
      <c r="J1003" s="5">
        <f t="shared" si="235"/>
        <v>66016.33524</v>
      </c>
      <c r="K1003" s="5">
        <f t="shared" si="236"/>
        <v>8233.5164928909944</v>
      </c>
      <c r="L1003" s="5">
        <f t="shared" si="232"/>
        <v>2.4274010539014506</v>
      </c>
      <c r="M1003" s="5">
        <f t="shared" si="233"/>
        <v>18050.2</v>
      </c>
      <c r="N1003" s="5">
        <f t="shared" si="234"/>
        <v>0</v>
      </c>
    </row>
    <row r="1004" spans="1:14" s="13" customFormat="1" ht="15.75" x14ac:dyDescent="0.25">
      <c r="A1004" s="38">
        <v>15</v>
      </c>
      <c r="B1004" s="34" t="s">
        <v>986</v>
      </c>
      <c r="C1004" s="18">
        <v>15591000000</v>
      </c>
      <c r="D1004" s="32" t="s">
        <v>2188</v>
      </c>
      <c r="E1004" s="86">
        <v>35.317999999999998</v>
      </c>
      <c r="F1004" s="76">
        <v>0.83799999999999997</v>
      </c>
      <c r="G1004" s="5">
        <f t="shared" si="237"/>
        <v>36.155999999999999</v>
      </c>
      <c r="H1004" s="83">
        <v>322535.11193999997</v>
      </c>
      <c r="I1004" s="83"/>
      <c r="J1004" s="5">
        <f t="shared" si="235"/>
        <v>322535.11193999997</v>
      </c>
      <c r="K1004" s="5">
        <f t="shared" si="236"/>
        <v>8920.6525041486893</v>
      </c>
      <c r="L1004" s="5">
        <f t="shared" si="232"/>
        <v>2.6299821356713986</v>
      </c>
      <c r="M1004" s="5">
        <f t="shared" si="233"/>
        <v>93816.8</v>
      </c>
      <c r="N1004" s="5">
        <f t="shared" si="234"/>
        <v>0</v>
      </c>
    </row>
    <row r="1005" spans="1:14" s="13" customFormat="1" ht="15.75" x14ac:dyDescent="0.25">
      <c r="A1005" s="36">
        <v>16</v>
      </c>
      <c r="B1005" s="17" t="s">
        <v>7</v>
      </c>
      <c r="C1005" s="17" t="s">
        <v>799</v>
      </c>
      <c r="D1005" s="11" t="s">
        <v>18</v>
      </c>
      <c r="E1005" s="11">
        <f t="shared" ref="E1005:J1005" si="238">E1006+E1007+E1012</f>
        <v>1371.529</v>
      </c>
      <c r="F1005" s="11">
        <f t="shared" si="238"/>
        <v>22.278000000000002</v>
      </c>
      <c r="G1005" s="11">
        <f t="shared" si="238"/>
        <v>1393.76</v>
      </c>
      <c r="H1005" s="11">
        <f t="shared" si="238"/>
        <v>5907247.4779800009</v>
      </c>
      <c r="I1005" s="11">
        <f t="shared" si="238"/>
        <v>-19031.699999999997</v>
      </c>
      <c r="J1005" s="11">
        <f t="shared" si="238"/>
        <v>5888215.7779800007</v>
      </c>
      <c r="K1005" s="11">
        <f t="shared" si="236"/>
        <v>4224.6984975749056</v>
      </c>
      <c r="L1005" s="11">
        <f t="shared" si="232"/>
        <v>1.2455234156977317</v>
      </c>
      <c r="M1005" s="11">
        <f>M1006+M1007+M1012</f>
        <v>584130.4</v>
      </c>
      <c r="N1005" s="11">
        <f>N1006+N1007+N1012</f>
        <v>130761.69999999998</v>
      </c>
    </row>
    <row r="1006" spans="1:14" s="12" customFormat="1" ht="15.75" x14ac:dyDescent="0.25">
      <c r="A1006" s="38">
        <v>16</v>
      </c>
      <c r="B1006" s="34" t="s">
        <v>6</v>
      </c>
      <c r="C1006" s="18" t="s">
        <v>144</v>
      </c>
      <c r="D1006" s="32" t="s">
        <v>854</v>
      </c>
      <c r="E1006" s="5">
        <v>0</v>
      </c>
      <c r="F1006" s="5">
        <v>4.7E-2</v>
      </c>
      <c r="G1006" s="5"/>
      <c r="H1006" s="49"/>
      <c r="I1006" s="49"/>
      <c r="J1006" s="5"/>
      <c r="K1006" s="5"/>
      <c r="L1006" s="5"/>
      <c r="M1006" s="5"/>
      <c r="N1006" s="5"/>
    </row>
    <row r="1007" spans="1:14" ht="15.75" x14ac:dyDescent="0.25">
      <c r="A1007" s="37">
        <v>16</v>
      </c>
      <c r="B1007" s="19" t="s">
        <v>5</v>
      </c>
      <c r="C1007" s="19" t="s">
        <v>800</v>
      </c>
      <c r="D1007" s="7" t="s">
        <v>2809</v>
      </c>
      <c r="E1007" s="7">
        <f t="shared" ref="E1007:J1007" si="239">SUM(E1008:E1011)</f>
        <v>0</v>
      </c>
      <c r="F1007" s="7">
        <f t="shared" si="239"/>
        <v>0</v>
      </c>
      <c r="G1007" s="7">
        <f t="shared" si="239"/>
        <v>0</v>
      </c>
      <c r="H1007" s="7">
        <f t="shared" si="239"/>
        <v>0</v>
      </c>
      <c r="I1007" s="7">
        <f t="shared" si="239"/>
        <v>0</v>
      </c>
      <c r="J1007" s="7">
        <f t="shared" si="239"/>
        <v>0</v>
      </c>
      <c r="K1007" s="7" t="e">
        <f>J1007/G1007</f>
        <v>#DIV/0!</v>
      </c>
      <c r="L1007" s="7" t="e">
        <f>K1007/$K$1659</f>
        <v>#DIV/0!</v>
      </c>
      <c r="M1007" s="7">
        <f>SUM(M1008:M1011)</f>
        <v>0</v>
      </c>
      <c r="N1007" s="7">
        <f>SUM(N1008:N1011)</f>
        <v>0</v>
      </c>
    </row>
    <row r="1008" spans="1:14" ht="15.75" x14ac:dyDescent="0.25">
      <c r="A1008" s="38">
        <v>16</v>
      </c>
      <c r="B1008" s="34" t="s">
        <v>4</v>
      </c>
      <c r="C1008" s="18" t="s">
        <v>145</v>
      </c>
      <c r="D1008" s="32" t="s">
        <v>937</v>
      </c>
      <c r="E1008" s="5"/>
      <c r="F1008" s="5"/>
      <c r="G1008" s="5"/>
      <c r="H1008" s="49"/>
      <c r="I1008" s="49"/>
      <c r="J1008" s="5"/>
      <c r="K1008" s="5"/>
      <c r="L1008" s="5"/>
      <c r="M1008" s="5"/>
      <c r="N1008" s="5"/>
    </row>
    <row r="1009" spans="1:14" ht="15.75" x14ac:dyDescent="0.25">
      <c r="A1009" s="38">
        <v>16</v>
      </c>
      <c r="B1009" s="34" t="s">
        <v>4</v>
      </c>
      <c r="C1009" s="18" t="s">
        <v>146</v>
      </c>
      <c r="D1009" s="32" t="s">
        <v>938</v>
      </c>
      <c r="E1009" s="5"/>
      <c r="F1009" s="5"/>
      <c r="G1009" s="5"/>
      <c r="H1009" s="49"/>
      <c r="I1009" s="49"/>
      <c r="J1009" s="5"/>
      <c r="K1009" s="5"/>
      <c r="L1009" s="5"/>
      <c r="M1009" s="5"/>
      <c r="N1009" s="5"/>
    </row>
    <row r="1010" spans="1:14" ht="15.75" x14ac:dyDescent="0.25">
      <c r="A1010" s="38">
        <v>16</v>
      </c>
      <c r="B1010" s="34" t="s">
        <v>4</v>
      </c>
      <c r="C1010" s="18" t="s">
        <v>147</v>
      </c>
      <c r="D1010" s="32" t="s">
        <v>939</v>
      </c>
      <c r="E1010" s="5"/>
      <c r="F1010" s="5"/>
      <c r="G1010" s="5"/>
      <c r="H1010" s="49"/>
      <c r="I1010" s="49"/>
      <c r="J1010" s="5"/>
      <c r="K1010" s="5"/>
      <c r="L1010" s="5"/>
      <c r="M1010" s="5"/>
      <c r="N1010" s="5"/>
    </row>
    <row r="1011" spans="1:14" ht="15.75" x14ac:dyDescent="0.25">
      <c r="A1011" s="38">
        <v>16</v>
      </c>
      <c r="B1011" s="34" t="s">
        <v>4</v>
      </c>
      <c r="C1011" s="18" t="s">
        <v>148</v>
      </c>
      <c r="D1011" s="32" t="s">
        <v>940</v>
      </c>
      <c r="E1011" s="5"/>
      <c r="F1011" s="5"/>
      <c r="G1011" s="5"/>
      <c r="H1011" s="49"/>
      <c r="I1011" s="49"/>
      <c r="J1011" s="5"/>
      <c r="K1011" s="5"/>
      <c r="L1011" s="5"/>
      <c r="M1011" s="5"/>
      <c r="N1011" s="5"/>
    </row>
    <row r="1012" spans="1:14" ht="31.5" x14ac:dyDescent="0.25">
      <c r="A1012" s="37">
        <v>16</v>
      </c>
      <c r="B1012" s="19" t="s">
        <v>28</v>
      </c>
      <c r="C1012" s="19" t="s">
        <v>801</v>
      </c>
      <c r="D1012" s="20" t="s">
        <v>2782</v>
      </c>
      <c r="E1012" s="7">
        <f t="shared" ref="E1012:J1012" si="240">SUM(E1013:E1072)</f>
        <v>1371.529</v>
      </c>
      <c r="F1012" s="7">
        <f t="shared" si="240"/>
        <v>22.231000000000002</v>
      </c>
      <c r="G1012" s="7">
        <f t="shared" si="240"/>
        <v>1393.76</v>
      </c>
      <c r="H1012" s="7">
        <f t="shared" si="240"/>
        <v>5907247.4779800009</v>
      </c>
      <c r="I1012" s="7">
        <f t="shared" si="240"/>
        <v>-19031.699999999997</v>
      </c>
      <c r="J1012" s="7">
        <f t="shared" si="240"/>
        <v>5888215.7779800007</v>
      </c>
      <c r="K1012" s="7">
        <f t="shared" ref="K1012:K1031" si="241">J1012/G1012</f>
        <v>4224.6984975749056</v>
      </c>
      <c r="L1012" s="7">
        <f t="shared" ref="L1012:L1043" si="242">K1012/$K$1659</f>
        <v>1.2455234156977317</v>
      </c>
      <c r="M1012" s="7">
        <f>SUM(M1013:M1072)</f>
        <v>584130.4</v>
      </c>
      <c r="N1012" s="7">
        <f>SUM(N1013:N1072)</f>
        <v>130761.69999999998</v>
      </c>
    </row>
    <row r="1013" spans="1:14" ht="31.5" x14ac:dyDescent="0.25">
      <c r="A1013" s="38">
        <v>16</v>
      </c>
      <c r="B1013" s="34" t="s">
        <v>984</v>
      </c>
      <c r="C1013" s="18" t="s">
        <v>149</v>
      </c>
      <c r="D1013" s="32" t="s">
        <v>2189</v>
      </c>
      <c r="E1013" s="5">
        <v>5.2779999999999996</v>
      </c>
      <c r="F1013" s="5">
        <v>8.8999999999999996E-2</v>
      </c>
      <c r="G1013" s="5">
        <f t="shared" ref="G1013:G1045" si="243">F1013+E1013</f>
        <v>5.367</v>
      </c>
      <c r="H1013" s="49">
        <v>32968.474040000001</v>
      </c>
      <c r="I1013" s="49"/>
      <c r="J1013" s="5">
        <f t="shared" ref="J1013:J1031" si="244">H1013+I1013</f>
        <v>32968.474040000001</v>
      </c>
      <c r="K1013" s="5">
        <f t="shared" si="241"/>
        <v>6142.8123793553195</v>
      </c>
      <c r="L1013" s="5">
        <f t="shared" si="242"/>
        <v>1.8110207535796565</v>
      </c>
      <c r="M1013" s="5">
        <f t="shared" ref="M1013:M1044" si="245">ROUND(IF(L1013&lt;110%,0,(K1013-$K$1659*1.1)*0.5)*G1013,1)</f>
        <v>6471.8</v>
      </c>
      <c r="N1013" s="5">
        <f t="shared" ref="N1013:N1044" si="246">ROUND(IF(L1013&gt;90%,0,(-K1013+$K$1659*0.9)*0.8)*G1013,1)</f>
        <v>0</v>
      </c>
    </row>
    <row r="1014" spans="1:14" ht="15.75" x14ac:dyDescent="0.25">
      <c r="A1014" s="38">
        <v>16</v>
      </c>
      <c r="B1014" s="34" t="s">
        <v>983</v>
      </c>
      <c r="C1014" s="18" t="s">
        <v>150</v>
      </c>
      <c r="D1014" s="32" t="s">
        <v>2190</v>
      </c>
      <c r="E1014" s="5">
        <v>25.28</v>
      </c>
      <c r="F1014" s="5">
        <v>0.191</v>
      </c>
      <c r="G1014" s="5">
        <f t="shared" si="243"/>
        <v>25.471</v>
      </c>
      <c r="H1014" s="49">
        <v>141310.3137</v>
      </c>
      <c r="I1014" s="49"/>
      <c r="J1014" s="5">
        <f t="shared" si="244"/>
        <v>141310.3137</v>
      </c>
      <c r="K1014" s="5">
        <f t="shared" si="241"/>
        <v>5547.8902948451178</v>
      </c>
      <c r="L1014" s="5">
        <f t="shared" si="242"/>
        <v>1.6356261337745959</v>
      </c>
      <c r="M1014" s="5">
        <f t="shared" si="245"/>
        <v>23137.8</v>
      </c>
      <c r="N1014" s="5">
        <f t="shared" si="246"/>
        <v>0</v>
      </c>
    </row>
    <row r="1015" spans="1:14" ht="31.5" x14ac:dyDescent="0.25">
      <c r="A1015" s="38">
        <v>16</v>
      </c>
      <c r="B1015" s="34" t="s">
        <v>984</v>
      </c>
      <c r="C1015" s="18" t="s">
        <v>151</v>
      </c>
      <c r="D1015" s="32" t="s">
        <v>2191</v>
      </c>
      <c r="E1015" s="5">
        <v>4.9089999999999998</v>
      </c>
      <c r="F1015" s="5">
        <v>2.5000000000000001E-2</v>
      </c>
      <c r="G1015" s="5">
        <f t="shared" si="243"/>
        <v>4.9340000000000002</v>
      </c>
      <c r="H1015" s="49">
        <v>13778.39948</v>
      </c>
      <c r="I1015" s="49"/>
      <c r="J1015" s="5">
        <f t="shared" si="244"/>
        <v>13778.39948</v>
      </c>
      <c r="K1015" s="5">
        <f t="shared" si="241"/>
        <v>2792.5414430482365</v>
      </c>
      <c r="L1015" s="5">
        <f t="shared" si="242"/>
        <v>0.82329561710012722</v>
      </c>
      <c r="M1015" s="5">
        <f t="shared" si="245"/>
        <v>0</v>
      </c>
      <c r="N1015" s="5">
        <f t="shared" si="246"/>
        <v>1027</v>
      </c>
    </row>
    <row r="1016" spans="1:14" ht="31.5" x14ac:dyDescent="0.25">
      <c r="A1016" s="38">
        <v>16</v>
      </c>
      <c r="B1016" s="34" t="s">
        <v>983</v>
      </c>
      <c r="C1016" s="18" t="s">
        <v>152</v>
      </c>
      <c r="D1016" s="32" t="s">
        <v>2192</v>
      </c>
      <c r="E1016" s="5">
        <v>30.135000000000002</v>
      </c>
      <c r="F1016" s="5">
        <v>0.55900000000000005</v>
      </c>
      <c r="G1016" s="5">
        <f t="shared" si="243"/>
        <v>30.694000000000003</v>
      </c>
      <c r="H1016" s="49">
        <v>93234.443570000003</v>
      </c>
      <c r="I1016" s="49"/>
      <c r="J1016" s="5">
        <f t="shared" si="244"/>
        <v>93234.443570000003</v>
      </c>
      <c r="K1016" s="5">
        <f t="shared" si="241"/>
        <v>3037.5462165244021</v>
      </c>
      <c r="L1016" s="5">
        <f t="shared" si="242"/>
        <v>0.89552779710006158</v>
      </c>
      <c r="M1016" s="5">
        <f t="shared" si="245"/>
        <v>0</v>
      </c>
      <c r="N1016" s="5">
        <f t="shared" si="246"/>
        <v>372.5</v>
      </c>
    </row>
    <row r="1017" spans="1:14" ht="15.75" x14ac:dyDescent="0.25">
      <c r="A1017" s="38">
        <v>16</v>
      </c>
      <c r="B1017" s="34" t="s">
        <v>984</v>
      </c>
      <c r="C1017" s="18" t="s">
        <v>153</v>
      </c>
      <c r="D1017" s="32" t="s">
        <v>1270</v>
      </c>
      <c r="E1017" s="5">
        <v>15.172000000000001</v>
      </c>
      <c r="F1017" s="5">
        <v>0.127</v>
      </c>
      <c r="G1017" s="5">
        <f t="shared" si="243"/>
        <v>15.299000000000001</v>
      </c>
      <c r="H1017" s="49">
        <v>40137.998240000001</v>
      </c>
      <c r="I1017" s="49"/>
      <c r="J1017" s="5">
        <f t="shared" si="244"/>
        <v>40137.998240000001</v>
      </c>
      <c r="K1017" s="5">
        <f t="shared" si="241"/>
        <v>2623.5700529446367</v>
      </c>
      <c r="L1017" s="5">
        <f t="shared" si="242"/>
        <v>0.77347955967547588</v>
      </c>
      <c r="M1017" s="5">
        <f t="shared" si="245"/>
        <v>0</v>
      </c>
      <c r="N1017" s="5">
        <f t="shared" si="246"/>
        <v>5252.4</v>
      </c>
    </row>
    <row r="1018" spans="1:14" ht="31.5" x14ac:dyDescent="0.25">
      <c r="A1018" s="38">
        <v>16</v>
      </c>
      <c r="B1018" s="34" t="s">
        <v>984</v>
      </c>
      <c r="C1018" s="18" t="s">
        <v>154</v>
      </c>
      <c r="D1018" s="32" t="s">
        <v>2193</v>
      </c>
      <c r="E1018" s="5">
        <v>2.9470000000000001</v>
      </c>
      <c r="F1018" s="5">
        <v>1.7000000000000001E-2</v>
      </c>
      <c r="G1018" s="5">
        <f t="shared" si="243"/>
        <v>2.964</v>
      </c>
      <c r="H1018" s="49">
        <v>6283.4258399999999</v>
      </c>
      <c r="I1018" s="49"/>
      <c r="J1018" s="5">
        <f t="shared" si="244"/>
        <v>6283.4258399999999</v>
      </c>
      <c r="K1018" s="5">
        <f t="shared" si="241"/>
        <v>2119.9142510121455</v>
      </c>
      <c r="L1018" s="5">
        <f t="shared" si="242"/>
        <v>0.62499201787360936</v>
      </c>
      <c r="M1018" s="5">
        <f t="shared" si="245"/>
        <v>0</v>
      </c>
      <c r="N1018" s="5">
        <f t="shared" si="246"/>
        <v>2211.9</v>
      </c>
    </row>
    <row r="1019" spans="1:14" ht="31.5" x14ac:dyDescent="0.25">
      <c r="A1019" s="38">
        <v>16</v>
      </c>
      <c r="B1019" s="34" t="s">
        <v>985</v>
      </c>
      <c r="C1019" s="18" t="s">
        <v>155</v>
      </c>
      <c r="D1019" s="32" t="s">
        <v>2194</v>
      </c>
      <c r="E1019" s="5">
        <v>17.459</v>
      </c>
      <c r="F1019" s="5">
        <v>0.125</v>
      </c>
      <c r="G1019" s="5">
        <f t="shared" si="243"/>
        <v>17.584</v>
      </c>
      <c r="H1019" s="49">
        <v>52354.407760000002</v>
      </c>
      <c r="I1019" s="49"/>
      <c r="J1019" s="5">
        <f t="shared" si="244"/>
        <v>52354.407760000002</v>
      </c>
      <c r="K1019" s="5">
        <f t="shared" si="241"/>
        <v>2977.3889763421294</v>
      </c>
      <c r="L1019" s="5">
        <f t="shared" si="242"/>
        <v>0.87779227081013023</v>
      </c>
      <c r="M1019" s="5">
        <f t="shared" si="245"/>
        <v>0</v>
      </c>
      <c r="N1019" s="5">
        <f t="shared" si="246"/>
        <v>1059.5999999999999</v>
      </c>
    </row>
    <row r="1020" spans="1:14" ht="31.5" x14ac:dyDescent="0.25">
      <c r="A1020" s="38">
        <v>16</v>
      </c>
      <c r="B1020" s="34" t="s">
        <v>985</v>
      </c>
      <c r="C1020" s="18" t="s">
        <v>156</v>
      </c>
      <c r="D1020" s="32" t="s">
        <v>2195</v>
      </c>
      <c r="E1020" s="5">
        <v>18.468</v>
      </c>
      <c r="F1020" s="5">
        <v>0.26600000000000001</v>
      </c>
      <c r="G1020" s="5">
        <f t="shared" si="243"/>
        <v>18.734000000000002</v>
      </c>
      <c r="H1020" s="49">
        <v>87476.809829999998</v>
      </c>
      <c r="I1020" s="49"/>
      <c r="J1020" s="5">
        <f t="shared" si="244"/>
        <v>87476.809829999998</v>
      </c>
      <c r="K1020" s="5">
        <f t="shared" si="241"/>
        <v>4669.414424575637</v>
      </c>
      <c r="L1020" s="5">
        <f t="shared" si="242"/>
        <v>1.3766343342002214</v>
      </c>
      <c r="M1020" s="5">
        <f t="shared" si="245"/>
        <v>8789.2000000000007</v>
      </c>
      <c r="N1020" s="5">
        <f t="shared" si="246"/>
        <v>0</v>
      </c>
    </row>
    <row r="1021" spans="1:14" ht="31.5" x14ac:dyDescent="0.25">
      <c r="A1021" s="38">
        <v>16</v>
      </c>
      <c r="B1021" s="34" t="s">
        <v>985</v>
      </c>
      <c r="C1021" s="18" t="s">
        <v>287</v>
      </c>
      <c r="D1021" s="32" t="s">
        <v>2196</v>
      </c>
      <c r="E1021" s="5">
        <v>8.8079999999999998</v>
      </c>
      <c r="F1021" s="5">
        <v>6.2E-2</v>
      </c>
      <c r="G1021" s="5">
        <f t="shared" si="243"/>
        <v>8.8699999999999992</v>
      </c>
      <c r="H1021" s="49">
        <v>23816.705300000001</v>
      </c>
      <c r="I1021" s="49"/>
      <c r="J1021" s="5">
        <f t="shared" si="244"/>
        <v>23816.705300000001</v>
      </c>
      <c r="K1021" s="5">
        <f t="shared" si="241"/>
        <v>2685.0851521984218</v>
      </c>
      <c r="L1021" s="5">
        <f t="shared" si="242"/>
        <v>0.79161540927126139</v>
      </c>
      <c r="M1021" s="5">
        <f t="shared" si="245"/>
        <v>0</v>
      </c>
      <c r="N1021" s="5">
        <f t="shared" si="246"/>
        <v>2608.6999999999998</v>
      </c>
    </row>
    <row r="1022" spans="1:14" ht="31.5" x14ac:dyDescent="0.25">
      <c r="A1022" s="38">
        <v>16</v>
      </c>
      <c r="B1022" s="34" t="s">
        <v>983</v>
      </c>
      <c r="C1022" s="18" t="s">
        <v>404</v>
      </c>
      <c r="D1022" s="32" t="s">
        <v>3063</v>
      </c>
      <c r="E1022" s="5">
        <v>26.08</v>
      </c>
      <c r="F1022" s="5">
        <v>0.443</v>
      </c>
      <c r="G1022" s="5">
        <f t="shared" si="243"/>
        <v>26.523</v>
      </c>
      <c r="H1022" s="49">
        <v>98386.364560000002</v>
      </c>
      <c r="I1022" s="49">
        <f>(0.5+57.1)*0.6</f>
        <v>34.56</v>
      </c>
      <c r="J1022" s="5">
        <f t="shared" si="244"/>
        <v>98420.924559999999</v>
      </c>
      <c r="K1022" s="5">
        <f t="shared" si="241"/>
        <v>3710.7764792821326</v>
      </c>
      <c r="L1022" s="5">
        <f t="shared" si="242"/>
        <v>1.0940091933233485</v>
      </c>
      <c r="M1022" s="5">
        <f t="shared" si="245"/>
        <v>0</v>
      </c>
      <c r="N1022" s="5">
        <f t="shared" si="246"/>
        <v>0</v>
      </c>
    </row>
    <row r="1023" spans="1:14" ht="31.5" x14ac:dyDescent="0.25">
      <c r="A1023" s="38">
        <v>16</v>
      </c>
      <c r="B1023" s="34" t="s">
        <v>984</v>
      </c>
      <c r="C1023" s="18" t="s">
        <v>405</v>
      </c>
      <c r="D1023" s="32" t="s">
        <v>2198</v>
      </c>
      <c r="E1023" s="5">
        <v>7.2560000000000002</v>
      </c>
      <c r="F1023" s="5">
        <v>0.22</v>
      </c>
      <c r="G1023" s="5">
        <f t="shared" si="243"/>
        <v>7.476</v>
      </c>
      <c r="H1023" s="49">
        <v>28712.004659999999</v>
      </c>
      <c r="I1023" s="49"/>
      <c r="J1023" s="5">
        <f t="shared" si="244"/>
        <v>28712.004659999999</v>
      </c>
      <c r="K1023" s="5">
        <f t="shared" si="241"/>
        <v>3840.5570706260032</v>
      </c>
      <c r="L1023" s="5">
        <f t="shared" si="242"/>
        <v>1.1322710398230875</v>
      </c>
      <c r="M1023" s="5">
        <f t="shared" si="245"/>
        <v>409.2</v>
      </c>
      <c r="N1023" s="5">
        <f t="shared" si="246"/>
        <v>0</v>
      </c>
    </row>
    <row r="1024" spans="1:14" ht="15.75" x14ac:dyDescent="0.25">
      <c r="A1024" s="38">
        <v>16</v>
      </c>
      <c r="B1024" s="34" t="s">
        <v>984</v>
      </c>
      <c r="C1024" s="18" t="s">
        <v>406</v>
      </c>
      <c r="D1024" s="32" t="s">
        <v>2199</v>
      </c>
      <c r="E1024" s="5">
        <v>2.72</v>
      </c>
      <c r="F1024" s="5">
        <v>4.9000000000000002E-2</v>
      </c>
      <c r="G1024" s="5">
        <f t="shared" si="243"/>
        <v>2.7690000000000001</v>
      </c>
      <c r="H1024" s="49">
        <v>10144.635850000001</v>
      </c>
      <c r="I1024" s="49"/>
      <c r="J1024" s="5">
        <f t="shared" si="244"/>
        <v>10144.635850000001</v>
      </c>
      <c r="K1024" s="5">
        <f t="shared" si="241"/>
        <v>3663.6460274467318</v>
      </c>
      <c r="L1024" s="5">
        <f t="shared" si="242"/>
        <v>1.0801142180044938</v>
      </c>
      <c r="M1024" s="5">
        <f t="shared" si="245"/>
        <v>0</v>
      </c>
      <c r="N1024" s="5">
        <f t="shared" si="246"/>
        <v>0</v>
      </c>
    </row>
    <row r="1025" spans="1:14" ht="31.5" x14ac:dyDescent="0.25">
      <c r="A1025" s="38">
        <v>16</v>
      </c>
      <c r="B1025" s="34" t="s">
        <v>985</v>
      </c>
      <c r="C1025" s="18" t="s">
        <v>492</v>
      </c>
      <c r="D1025" s="32" t="s">
        <v>2200</v>
      </c>
      <c r="E1025" s="5">
        <v>11.148999999999999</v>
      </c>
      <c r="F1025" s="5">
        <v>0.19600000000000001</v>
      </c>
      <c r="G1025" s="5">
        <f t="shared" si="243"/>
        <v>11.344999999999999</v>
      </c>
      <c r="H1025" s="49">
        <v>39420.334199999998</v>
      </c>
      <c r="I1025" s="49"/>
      <c r="J1025" s="5">
        <f t="shared" si="244"/>
        <v>39420.334199999998</v>
      </c>
      <c r="K1025" s="5">
        <f t="shared" si="241"/>
        <v>3474.6878977523138</v>
      </c>
      <c r="L1025" s="5">
        <f t="shared" si="242"/>
        <v>1.0244056803997523</v>
      </c>
      <c r="M1025" s="5">
        <f t="shared" si="245"/>
        <v>0</v>
      </c>
      <c r="N1025" s="5">
        <f t="shared" si="246"/>
        <v>0</v>
      </c>
    </row>
    <row r="1026" spans="1:14" ht="31.5" x14ac:dyDescent="0.25">
      <c r="A1026" s="38">
        <v>16</v>
      </c>
      <c r="B1026" s="34" t="s">
        <v>983</v>
      </c>
      <c r="C1026" s="18" t="s">
        <v>598</v>
      </c>
      <c r="D1026" s="32" t="s">
        <v>2201</v>
      </c>
      <c r="E1026" s="5">
        <v>21.315999999999999</v>
      </c>
      <c r="F1026" s="5">
        <v>0.29099999999999998</v>
      </c>
      <c r="G1026" s="5">
        <f t="shared" si="243"/>
        <v>21.606999999999999</v>
      </c>
      <c r="H1026" s="49">
        <v>79703.941349999994</v>
      </c>
      <c r="I1026" s="49"/>
      <c r="J1026" s="5">
        <f t="shared" si="244"/>
        <v>79703.941349999994</v>
      </c>
      <c r="K1026" s="5">
        <f t="shared" si="241"/>
        <v>3688.8018396815846</v>
      </c>
      <c r="L1026" s="5">
        <f t="shared" si="242"/>
        <v>1.0875306414953987</v>
      </c>
      <c r="M1026" s="5">
        <f t="shared" si="245"/>
        <v>0</v>
      </c>
      <c r="N1026" s="5">
        <f t="shared" si="246"/>
        <v>0</v>
      </c>
    </row>
    <row r="1027" spans="1:14" ht="15.75" x14ac:dyDescent="0.25">
      <c r="A1027" s="38">
        <v>16</v>
      </c>
      <c r="B1027" s="34" t="s">
        <v>984</v>
      </c>
      <c r="C1027" s="18" t="s">
        <v>599</v>
      </c>
      <c r="D1027" s="32" t="s">
        <v>2202</v>
      </c>
      <c r="E1027" s="5">
        <v>7.1369999999999996</v>
      </c>
      <c r="F1027" s="5">
        <v>0.11799999999999999</v>
      </c>
      <c r="G1027" s="5">
        <f t="shared" si="243"/>
        <v>7.2549999999999999</v>
      </c>
      <c r="H1027" s="49">
        <v>23140.517169999999</v>
      </c>
      <c r="I1027" s="49"/>
      <c r="J1027" s="5">
        <f t="shared" si="244"/>
        <v>23140.517169999999</v>
      </c>
      <c r="K1027" s="5">
        <f t="shared" si="241"/>
        <v>3189.5957505168849</v>
      </c>
      <c r="L1027" s="5">
        <f t="shared" si="242"/>
        <v>0.94035496169944677</v>
      </c>
      <c r="M1027" s="5">
        <f t="shared" si="245"/>
        <v>0</v>
      </c>
      <c r="N1027" s="5">
        <f t="shared" si="246"/>
        <v>0</v>
      </c>
    </row>
    <row r="1028" spans="1:14" ht="15.75" x14ac:dyDescent="0.25">
      <c r="A1028" s="38">
        <v>16</v>
      </c>
      <c r="B1028" s="34" t="s">
        <v>983</v>
      </c>
      <c r="C1028" s="18" t="s">
        <v>600</v>
      </c>
      <c r="D1028" s="32" t="s">
        <v>3064</v>
      </c>
      <c r="E1028" s="5">
        <v>22.187000000000001</v>
      </c>
      <c r="F1028" s="5">
        <v>0.24199999999999999</v>
      </c>
      <c r="G1028" s="5">
        <f t="shared" si="243"/>
        <v>22.429000000000002</v>
      </c>
      <c r="H1028" s="49">
        <v>92017.417929999996</v>
      </c>
      <c r="I1028" s="49"/>
      <c r="J1028" s="5">
        <f t="shared" si="244"/>
        <v>92017.417929999996</v>
      </c>
      <c r="K1028" s="5">
        <f t="shared" si="241"/>
        <v>4102.6090298274548</v>
      </c>
      <c r="L1028" s="5">
        <f t="shared" si="242"/>
        <v>1.2095290622600101</v>
      </c>
      <c r="M1028" s="5">
        <f t="shared" si="245"/>
        <v>4166.3</v>
      </c>
      <c r="N1028" s="5">
        <f t="shared" si="246"/>
        <v>0</v>
      </c>
    </row>
    <row r="1029" spans="1:14" ht="31.5" x14ac:dyDescent="0.25">
      <c r="A1029" s="38">
        <v>16</v>
      </c>
      <c r="B1029" s="34" t="s">
        <v>984</v>
      </c>
      <c r="C1029" s="18" t="s">
        <v>601</v>
      </c>
      <c r="D1029" s="32" t="s">
        <v>1631</v>
      </c>
      <c r="E1029" s="5">
        <v>5.827</v>
      </c>
      <c r="F1029" s="5">
        <v>4.2000000000000003E-2</v>
      </c>
      <c r="G1029" s="5">
        <f t="shared" si="243"/>
        <v>5.8689999999999998</v>
      </c>
      <c r="H1029" s="49">
        <v>37116.791960000002</v>
      </c>
      <c r="I1029" s="49"/>
      <c r="J1029" s="5">
        <f t="shared" si="244"/>
        <v>37116.791960000002</v>
      </c>
      <c r="K1029" s="5">
        <f t="shared" si="241"/>
        <v>6324.2105912421202</v>
      </c>
      <c r="L1029" s="5">
        <f t="shared" si="242"/>
        <v>1.8645004801448546</v>
      </c>
      <c r="M1029" s="5">
        <f t="shared" si="245"/>
        <v>7609.5</v>
      </c>
      <c r="N1029" s="5">
        <f t="shared" si="246"/>
        <v>0</v>
      </c>
    </row>
    <row r="1030" spans="1:14" ht="31.5" x14ac:dyDescent="0.25">
      <c r="A1030" s="38">
        <v>16</v>
      </c>
      <c r="B1030" s="34" t="s">
        <v>984</v>
      </c>
      <c r="C1030" s="18" t="s">
        <v>602</v>
      </c>
      <c r="D1030" s="32" t="s">
        <v>2204</v>
      </c>
      <c r="E1030" s="5">
        <v>4.1260000000000003</v>
      </c>
      <c r="F1030" s="5">
        <v>3.3000000000000002E-2</v>
      </c>
      <c r="G1030" s="5">
        <f t="shared" si="243"/>
        <v>4.1590000000000007</v>
      </c>
      <c r="H1030" s="49">
        <v>26920.259870000002</v>
      </c>
      <c r="I1030" s="49"/>
      <c r="J1030" s="5">
        <f t="shared" si="244"/>
        <v>26920.259870000002</v>
      </c>
      <c r="K1030" s="5">
        <f t="shared" si="241"/>
        <v>6472.7722697763875</v>
      </c>
      <c r="L1030" s="5">
        <f t="shared" si="242"/>
        <v>1.9082993570105067</v>
      </c>
      <c r="M1030" s="5">
        <f t="shared" si="245"/>
        <v>5701.3</v>
      </c>
      <c r="N1030" s="5">
        <f t="shared" si="246"/>
        <v>0</v>
      </c>
    </row>
    <row r="1031" spans="1:14" ht="31.5" x14ac:dyDescent="0.25">
      <c r="A1031" s="38">
        <v>16</v>
      </c>
      <c r="B1031" s="34" t="s">
        <v>984</v>
      </c>
      <c r="C1031" s="18" t="s">
        <v>603</v>
      </c>
      <c r="D1031" s="32" t="s">
        <v>2205</v>
      </c>
      <c r="E1031" s="5">
        <v>4.9960000000000004</v>
      </c>
      <c r="F1031" s="5">
        <v>3.9E-2</v>
      </c>
      <c r="G1031" s="5">
        <f t="shared" si="243"/>
        <v>5.0350000000000001</v>
      </c>
      <c r="H1031" s="49">
        <v>25013.094499999999</v>
      </c>
      <c r="I1031" s="49"/>
      <c r="J1031" s="5">
        <f t="shared" si="244"/>
        <v>25013.094499999999</v>
      </c>
      <c r="K1031" s="5">
        <f t="shared" si="241"/>
        <v>4967.8439920556102</v>
      </c>
      <c r="L1031" s="5">
        <f t="shared" si="242"/>
        <v>1.4646171842062561</v>
      </c>
      <c r="M1031" s="5">
        <f t="shared" si="245"/>
        <v>3113.5</v>
      </c>
      <c r="N1031" s="5">
        <f t="shared" si="246"/>
        <v>0</v>
      </c>
    </row>
    <row r="1032" spans="1:14" ht="31.5" x14ac:dyDescent="0.25">
      <c r="A1032" s="38">
        <v>16</v>
      </c>
      <c r="B1032" s="34" t="s">
        <v>985</v>
      </c>
      <c r="C1032" s="18" t="s">
        <v>604</v>
      </c>
      <c r="D1032" s="32" t="s">
        <v>2206</v>
      </c>
      <c r="E1032" s="5">
        <v>22.145</v>
      </c>
      <c r="F1032" s="5">
        <v>0.26700000000000002</v>
      </c>
      <c r="G1032" s="5">
        <f t="shared" si="243"/>
        <v>22.411999999999999</v>
      </c>
      <c r="H1032" s="49">
        <v>54006.968670000002</v>
      </c>
      <c r="I1032" s="49">
        <f>(11.6)*0.6</f>
        <v>6.96</v>
      </c>
      <c r="J1032" s="5">
        <f t="shared" ref="J1032:J1039" si="247">H1032+I1032</f>
        <v>54013.928670000001</v>
      </c>
      <c r="K1032" s="5">
        <f t="shared" ref="K1032:K1039" si="248">J1032/G1032</f>
        <v>2410.045005800464</v>
      </c>
      <c r="L1032" s="5">
        <f t="shared" si="242"/>
        <v>0.71052821623435414</v>
      </c>
      <c r="M1032" s="5">
        <f t="shared" si="245"/>
        <v>0</v>
      </c>
      <c r="N1032" s="5">
        <f t="shared" si="246"/>
        <v>11522.8</v>
      </c>
    </row>
    <row r="1033" spans="1:14" ht="31.5" x14ac:dyDescent="0.25">
      <c r="A1033" s="38">
        <v>16</v>
      </c>
      <c r="B1033" s="34" t="s">
        <v>985</v>
      </c>
      <c r="C1033" s="18" t="s">
        <v>605</v>
      </c>
      <c r="D1033" s="32" t="s">
        <v>3065</v>
      </c>
      <c r="E1033" s="5">
        <v>4.6920000000000002</v>
      </c>
      <c r="F1033" s="5">
        <v>0.05</v>
      </c>
      <c r="G1033" s="5">
        <f t="shared" si="243"/>
        <v>4.742</v>
      </c>
      <c r="H1033" s="49">
        <v>11300.33243</v>
      </c>
      <c r="I1033" s="49"/>
      <c r="J1033" s="5">
        <f t="shared" si="247"/>
        <v>11300.33243</v>
      </c>
      <c r="K1033" s="5">
        <f t="shared" si="248"/>
        <v>2383.0308793757908</v>
      </c>
      <c r="L1033" s="5">
        <f t="shared" si="242"/>
        <v>0.70256392551967628</v>
      </c>
      <c r="M1033" s="5">
        <f t="shared" si="245"/>
        <v>0</v>
      </c>
      <c r="N1033" s="5">
        <f t="shared" si="246"/>
        <v>2540.5</v>
      </c>
    </row>
    <row r="1034" spans="1:14" s="24" customFormat="1" ht="31.5" x14ac:dyDescent="0.25">
      <c r="A1034" s="38">
        <v>16</v>
      </c>
      <c r="B1034" s="34" t="s">
        <v>984</v>
      </c>
      <c r="C1034" s="18" t="s">
        <v>606</v>
      </c>
      <c r="D1034" s="32" t="s">
        <v>2208</v>
      </c>
      <c r="E1034" s="5">
        <v>7.6959999999999997</v>
      </c>
      <c r="F1034" s="5">
        <v>8.2000000000000003E-2</v>
      </c>
      <c r="G1034" s="5">
        <f t="shared" si="243"/>
        <v>7.7779999999999996</v>
      </c>
      <c r="H1034" s="49">
        <v>29873.35096</v>
      </c>
      <c r="I1034" s="49"/>
      <c r="J1034" s="5">
        <f t="shared" si="247"/>
        <v>29873.35096</v>
      </c>
      <c r="K1034" s="5">
        <f t="shared" si="248"/>
        <v>3840.7496734379019</v>
      </c>
      <c r="L1034" s="5">
        <f t="shared" si="242"/>
        <v>1.1323278228840059</v>
      </c>
      <c r="M1034" s="5">
        <f t="shared" si="245"/>
        <v>426.4</v>
      </c>
      <c r="N1034" s="5">
        <f t="shared" si="246"/>
        <v>0</v>
      </c>
    </row>
    <row r="1035" spans="1:14" s="24" customFormat="1" ht="31.5" x14ac:dyDescent="0.25">
      <c r="A1035" s="38">
        <v>16</v>
      </c>
      <c r="B1035" s="34" t="s">
        <v>984</v>
      </c>
      <c r="C1035" s="18" t="s">
        <v>708</v>
      </c>
      <c r="D1035" s="32" t="s">
        <v>2209</v>
      </c>
      <c r="E1035" s="5">
        <v>4.2039999999999997</v>
      </c>
      <c r="F1035" s="5">
        <v>3.2000000000000001E-2</v>
      </c>
      <c r="G1035" s="5">
        <f t="shared" si="243"/>
        <v>4.2359999999999998</v>
      </c>
      <c r="H1035" s="49">
        <v>9177.7420999999995</v>
      </c>
      <c r="I1035" s="49"/>
      <c r="J1035" s="5">
        <f t="shared" si="247"/>
        <v>9177.7420999999995</v>
      </c>
      <c r="K1035" s="5">
        <f t="shared" si="248"/>
        <v>2166.6057837582625</v>
      </c>
      <c r="L1035" s="5">
        <f t="shared" si="242"/>
        <v>0.63875759129464493</v>
      </c>
      <c r="M1035" s="5">
        <f t="shared" si="245"/>
        <v>0</v>
      </c>
      <c r="N1035" s="5">
        <f t="shared" si="246"/>
        <v>3002.8</v>
      </c>
    </row>
    <row r="1036" spans="1:14" s="24" customFormat="1" ht="31.5" x14ac:dyDescent="0.25">
      <c r="A1036" s="38">
        <v>16</v>
      </c>
      <c r="B1036" s="34" t="s">
        <v>985</v>
      </c>
      <c r="C1036" s="18" t="s">
        <v>709</v>
      </c>
      <c r="D1036" s="32" t="s">
        <v>2210</v>
      </c>
      <c r="E1036" s="5">
        <v>13.755000000000001</v>
      </c>
      <c r="F1036" s="5">
        <v>0.10299999999999999</v>
      </c>
      <c r="G1036" s="5">
        <f t="shared" si="243"/>
        <v>13.858000000000001</v>
      </c>
      <c r="H1036" s="49">
        <v>41509.377370000002</v>
      </c>
      <c r="I1036" s="49"/>
      <c r="J1036" s="5">
        <f t="shared" si="247"/>
        <v>41509.377370000002</v>
      </c>
      <c r="K1036" s="5">
        <f t="shared" si="248"/>
        <v>2995.3367996824941</v>
      </c>
      <c r="L1036" s="5">
        <f t="shared" si="242"/>
        <v>0.883083638760781</v>
      </c>
      <c r="M1036" s="5">
        <f t="shared" si="245"/>
        <v>0</v>
      </c>
      <c r="N1036" s="5">
        <f t="shared" si="246"/>
        <v>636.1</v>
      </c>
    </row>
    <row r="1037" spans="1:14" s="24" customFormat="1" ht="31.5" x14ac:dyDescent="0.25">
      <c r="A1037" s="38">
        <v>16</v>
      </c>
      <c r="B1037" s="34" t="s">
        <v>985</v>
      </c>
      <c r="C1037" s="18" t="s">
        <v>710</v>
      </c>
      <c r="D1037" s="32" t="s">
        <v>2211</v>
      </c>
      <c r="E1037" s="5">
        <v>11.911</v>
      </c>
      <c r="F1037" s="5">
        <v>0.09</v>
      </c>
      <c r="G1037" s="5">
        <f t="shared" si="243"/>
        <v>12.000999999999999</v>
      </c>
      <c r="H1037" s="49">
        <v>78669.077799999999</v>
      </c>
      <c r="I1037" s="49">
        <f>(21.8+10.2)*0.6</f>
        <v>19.2</v>
      </c>
      <c r="J1037" s="5">
        <f t="shared" si="247"/>
        <v>78688.277799999996</v>
      </c>
      <c r="K1037" s="5">
        <f t="shared" si="248"/>
        <v>6556.8100824931253</v>
      </c>
      <c r="L1037" s="5">
        <f t="shared" si="242"/>
        <v>1.9330753412855506</v>
      </c>
      <c r="M1037" s="5">
        <f t="shared" si="245"/>
        <v>16955.7</v>
      </c>
      <c r="N1037" s="5">
        <f t="shared" si="246"/>
        <v>0</v>
      </c>
    </row>
    <row r="1038" spans="1:14" s="24" customFormat="1" ht="31.5" x14ac:dyDescent="0.25">
      <c r="A1038" s="38">
        <v>16</v>
      </c>
      <c r="B1038" s="34" t="s">
        <v>984</v>
      </c>
      <c r="C1038" s="18" t="s">
        <v>711</v>
      </c>
      <c r="D1038" s="32" t="s">
        <v>2212</v>
      </c>
      <c r="E1038" s="5">
        <v>13.212</v>
      </c>
      <c r="F1038" s="5">
        <v>0.28699999999999998</v>
      </c>
      <c r="G1038" s="5">
        <f t="shared" si="243"/>
        <v>13.499000000000001</v>
      </c>
      <c r="H1038" s="49">
        <v>57620.445939999998</v>
      </c>
      <c r="I1038" s="49">
        <f>(172.8)*0.6</f>
        <v>103.68</v>
      </c>
      <c r="J1038" s="5">
        <f t="shared" si="247"/>
        <v>57724.125939999998</v>
      </c>
      <c r="K1038" s="5">
        <f t="shared" si="248"/>
        <v>4276.1779346618268</v>
      </c>
      <c r="L1038" s="5">
        <f t="shared" si="242"/>
        <v>1.260700556588497</v>
      </c>
      <c r="M1038" s="5">
        <f t="shared" si="245"/>
        <v>3679</v>
      </c>
      <c r="N1038" s="5">
        <f t="shared" si="246"/>
        <v>0</v>
      </c>
    </row>
    <row r="1039" spans="1:14" ht="31.5" x14ac:dyDescent="0.25">
      <c r="A1039" s="38">
        <v>16</v>
      </c>
      <c r="B1039" s="34" t="s">
        <v>984</v>
      </c>
      <c r="C1039" s="18" t="s">
        <v>712</v>
      </c>
      <c r="D1039" s="32" t="s">
        <v>2213</v>
      </c>
      <c r="E1039" s="5">
        <v>5.8579999999999997</v>
      </c>
      <c r="F1039" s="5">
        <v>3.4000000000000002E-2</v>
      </c>
      <c r="G1039" s="5">
        <f t="shared" si="243"/>
        <v>5.8919999999999995</v>
      </c>
      <c r="H1039" s="49">
        <v>16042.59186</v>
      </c>
      <c r="I1039" s="49">
        <f>(147.9)*0.6</f>
        <v>88.74</v>
      </c>
      <c r="J1039" s="5">
        <f t="shared" si="247"/>
        <v>16131.33186</v>
      </c>
      <c r="K1039" s="5">
        <f t="shared" si="248"/>
        <v>2737.8363645621184</v>
      </c>
      <c r="L1039" s="5">
        <f t="shared" si="242"/>
        <v>0.80716749428824974</v>
      </c>
      <c r="M1039" s="5">
        <f t="shared" si="245"/>
        <v>0</v>
      </c>
      <c r="N1039" s="5">
        <f t="shared" si="246"/>
        <v>1484.2</v>
      </c>
    </row>
    <row r="1040" spans="1:14" ht="31.5" x14ac:dyDescent="0.25">
      <c r="A1040" s="38">
        <v>16</v>
      </c>
      <c r="B1040" s="34" t="s">
        <v>984</v>
      </c>
      <c r="C1040" s="18" t="s">
        <v>713</v>
      </c>
      <c r="D1040" s="32" t="s">
        <v>2214</v>
      </c>
      <c r="E1040" s="5">
        <v>7.9669999999999996</v>
      </c>
      <c r="F1040" s="5">
        <v>6.0999999999999999E-2</v>
      </c>
      <c r="G1040" s="5">
        <f t="shared" si="243"/>
        <v>8.0280000000000005</v>
      </c>
      <c r="H1040" s="49">
        <v>18455.753369999999</v>
      </c>
      <c r="I1040" s="49">
        <f>(2.8)*0.6</f>
        <v>1.68</v>
      </c>
      <c r="J1040" s="5">
        <f t="shared" ref="J1040:J1052" si="249">H1040+I1040</f>
        <v>18457.433369999999</v>
      </c>
      <c r="K1040" s="5">
        <f t="shared" ref="K1040:K1052" si="250">J1040/G1040</f>
        <v>2299.1322085201791</v>
      </c>
      <c r="L1040" s="5">
        <f t="shared" si="242"/>
        <v>0.67782896297582473</v>
      </c>
      <c r="M1040" s="5">
        <f t="shared" si="245"/>
        <v>0</v>
      </c>
      <c r="N1040" s="5">
        <f t="shared" si="246"/>
        <v>4839.8</v>
      </c>
    </row>
    <row r="1041" spans="1:14" ht="31.5" x14ac:dyDescent="0.25">
      <c r="A1041" s="38">
        <v>16</v>
      </c>
      <c r="B1041" s="34" t="s">
        <v>984</v>
      </c>
      <c r="C1041" s="18">
        <v>16540000000</v>
      </c>
      <c r="D1041" s="32" t="s">
        <v>2215</v>
      </c>
      <c r="E1041" s="5">
        <v>12.125999999999999</v>
      </c>
      <c r="F1041" s="5">
        <v>0.13300000000000001</v>
      </c>
      <c r="G1041" s="5">
        <f t="shared" si="243"/>
        <v>12.259</v>
      </c>
      <c r="H1041" s="49">
        <v>26261.57617</v>
      </c>
      <c r="I1041" s="49"/>
      <c r="J1041" s="5">
        <f t="shared" si="249"/>
        <v>26261.57617</v>
      </c>
      <c r="K1041" s="5">
        <f t="shared" si="250"/>
        <v>2142.2282543437473</v>
      </c>
      <c r="L1041" s="5">
        <f t="shared" si="242"/>
        <v>0.63157062074039882</v>
      </c>
      <c r="M1041" s="5">
        <f t="shared" si="245"/>
        <v>0</v>
      </c>
      <c r="N1041" s="5">
        <f t="shared" si="246"/>
        <v>8929.2999999999993</v>
      </c>
    </row>
    <row r="1042" spans="1:14" ht="31.5" x14ac:dyDescent="0.25">
      <c r="A1042" s="38">
        <v>16</v>
      </c>
      <c r="B1042" s="34" t="s">
        <v>984</v>
      </c>
      <c r="C1042" s="18">
        <v>16541000000</v>
      </c>
      <c r="D1042" s="32" t="s">
        <v>2216</v>
      </c>
      <c r="E1042" s="5">
        <v>4.9569999999999999</v>
      </c>
      <c r="F1042" s="5">
        <v>2.7E-2</v>
      </c>
      <c r="G1042" s="5">
        <f t="shared" si="243"/>
        <v>4.984</v>
      </c>
      <c r="H1042" s="49">
        <v>11463.92692</v>
      </c>
      <c r="I1042" s="49"/>
      <c r="J1042" s="5">
        <f t="shared" si="249"/>
        <v>11463.92692</v>
      </c>
      <c r="K1042" s="5">
        <f t="shared" si="250"/>
        <v>2300.1458507223115</v>
      </c>
      <c r="L1042" s="5">
        <f t="shared" si="242"/>
        <v>0.67812780444311993</v>
      </c>
      <c r="M1042" s="5">
        <f t="shared" si="245"/>
        <v>0</v>
      </c>
      <c r="N1042" s="5">
        <f t="shared" si="246"/>
        <v>3000.6</v>
      </c>
    </row>
    <row r="1043" spans="1:14" ht="31.5" x14ac:dyDescent="0.25">
      <c r="A1043" s="38">
        <v>16</v>
      </c>
      <c r="B1043" s="34" t="s">
        <v>984</v>
      </c>
      <c r="C1043" s="18">
        <v>16542000000</v>
      </c>
      <c r="D1043" s="32" t="s">
        <v>2217</v>
      </c>
      <c r="E1043" s="5">
        <v>4.0670000000000002</v>
      </c>
      <c r="F1043" s="5">
        <v>8.3000000000000004E-2</v>
      </c>
      <c r="G1043" s="5">
        <f t="shared" si="243"/>
        <v>4.1500000000000004</v>
      </c>
      <c r="H1043" s="49">
        <v>14878.724840000001</v>
      </c>
      <c r="I1043" s="49"/>
      <c r="J1043" s="5">
        <f t="shared" si="249"/>
        <v>14878.724840000001</v>
      </c>
      <c r="K1043" s="5">
        <f t="shared" si="250"/>
        <v>3585.2349012048194</v>
      </c>
      <c r="L1043" s="5">
        <f t="shared" si="242"/>
        <v>1.05699709051206</v>
      </c>
      <c r="M1043" s="5">
        <f t="shared" si="245"/>
        <v>0</v>
      </c>
      <c r="N1043" s="5">
        <f t="shared" si="246"/>
        <v>0</v>
      </c>
    </row>
    <row r="1044" spans="1:14" ht="31.5" x14ac:dyDescent="0.25">
      <c r="A1044" s="38">
        <v>16</v>
      </c>
      <c r="B1044" s="34" t="s">
        <v>985</v>
      </c>
      <c r="C1044" s="18">
        <v>16543000000</v>
      </c>
      <c r="D1044" s="32" t="s">
        <v>2218</v>
      </c>
      <c r="E1044" s="5">
        <v>8.2469999999999999</v>
      </c>
      <c r="F1044" s="5">
        <v>9.2999999999999999E-2</v>
      </c>
      <c r="G1044" s="5">
        <f t="shared" si="243"/>
        <v>8.34</v>
      </c>
      <c r="H1044" s="49">
        <v>39937.540549999998</v>
      </c>
      <c r="I1044" s="49"/>
      <c r="J1044" s="5">
        <f t="shared" si="249"/>
        <v>39937.540549999998</v>
      </c>
      <c r="K1044" s="5">
        <f t="shared" si="250"/>
        <v>4788.6739268585134</v>
      </c>
      <c r="L1044" s="5">
        <f t="shared" ref="L1044:L1073" si="251">K1044/$K$1659</f>
        <v>1.4117943586902639</v>
      </c>
      <c r="M1044" s="5">
        <f t="shared" si="245"/>
        <v>4410.1000000000004</v>
      </c>
      <c r="N1044" s="5">
        <f t="shared" si="246"/>
        <v>0</v>
      </c>
    </row>
    <row r="1045" spans="1:14" ht="31.5" x14ac:dyDescent="0.25">
      <c r="A1045" s="38">
        <v>16</v>
      </c>
      <c r="B1045" s="34" t="s">
        <v>985</v>
      </c>
      <c r="C1045" s="18">
        <v>16544000000</v>
      </c>
      <c r="D1045" s="32" t="s">
        <v>3066</v>
      </c>
      <c r="E1045" s="5">
        <v>9.9879999999999995</v>
      </c>
      <c r="F1045" s="5">
        <v>0.121</v>
      </c>
      <c r="G1045" s="5">
        <f t="shared" si="243"/>
        <v>10.109</v>
      </c>
      <c r="H1045" s="49">
        <v>33121.72597</v>
      </c>
      <c r="I1045" s="49"/>
      <c r="J1045" s="5">
        <f t="shared" si="249"/>
        <v>33121.72597</v>
      </c>
      <c r="K1045" s="5">
        <f t="shared" si="250"/>
        <v>3276.4591918092788</v>
      </c>
      <c r="L1045" s="5">
        <f t="shared" si="251"/>
        <v>0.96596399632283259</v>
      </c>
      <c r="M1045" s="5">
        <f t="shared" ref="M1045:M1072" si="252">ROUND(IF(L1045&lt;110%,0,(K1045-$K$1659*1.1)*0.5)*G1045,1)</f>
        <v>0</v>
      </c>
      <c r="N1045" s="5">
        <f t="shared" ref="N1045:N1072" si="253">ROUND(IF(L1045&gt;90%,0,(-K1045+$K$1659*0.9)*0.8)*G1045,1)</f>
        <v>0</v>
      </c>
    </row>
    <row r="1046" spans="1:14" ht="15.75" x14ac:dyDescent="0.25">
      <c r="A1046" s="38">
        <v>16</v>
      </c>
      <c r="B1046" s="34" t="s">
        <v>986</v>
      </c>
      <c r="C1046" s="18">
        <v>16545000000</v>
      </c>
      <c r="D1046" s="32" t="s">
        <v>3067</v>
      </c>
      <c r="E1046" s="5">
        <v>26.975000000000001</v>
      </c>
      <c r="F1046" s="5">
        <v>0.30599999999999999</v>
      </c>
      <c r="G1046" s="5">
        <f t="shared" ref="G1046:G1072" si="254">F1046+E1046</f>
        <v>27.281000000000002</v>
      </c>
      <c r="H1046" s="49">
        <v>71618.559930000003</v>
      </c>
      <c r="I1046" s="49"/>
      <c r="J1046" s="5">
        <f t="shared" si="249"/>
        <v>71618.559930000003</v>
      </c>
      <c r="K1046" s="5">
        <f t="shared" si="250"/>
        <v>2625.2175481104064</v>
      </c>
      <c r="L1046" s="5">
        <f t="shared" si="251"/>
        <v>0.77396527334413012</v>
      </c>
      <c r="M1046" s="5">
        <f t="shared" si="252"/>
        <v>0</v>
      </c>
      <c r="N1046" s="5">
        <f t="shared" si="253"/>
        <v>9330.1</v>
      </c>
    </row>
    <row r="1047" spans="1:14" ht="31.5" x14ac:dyDescent="0.25">
      <c r="A1047" s="38">
        <v>16</v>
      </c>
      <c r="B1047" s="34" t="s">
        <v>986</v>
      </c>
      <c r="C1047" s="18">
        <v>16546000000</v>
      </c>
      <c r="D1047" s="32" t="s">
        <v>3068</v>
      </c>
      <c r="E1047" s="5">
        <v>55.366</v>
      </c>
      <c r="F1047" s="5">
        <v>0.97199999999999998</v>
      </c>
      <c r="G1047" s="5">
        <f t="shared" si="254"/>
        <v>56.338000000000001</v>
      </c>
      <c r="H1047" s="49">
        <v>408433.80794000003</v>
      </c>
      <c r="I1047" s="49"/>
      <c r="J1047" s="5">
        <f t="shared" si="249"/>
        <v>408433.80794000003</v>
      </c>
      <c r="K1047" s="5">
        <f t="shared" si="250"/>
        <v>7249.7037157868581</v>
      </c>
      <c r="L1047" s="5">
        <f t="shared" si="251"/>
        <v>2.1373538821922251</v>
      </c>
      <c r="M1047" s="5">
        <f t="shared" si="252"/>
        <v>99115.6</v>
      </c>
      <c r="N1047" s="5">
        <f t="shared" si="253"/>
        <v>0</v>
      </c>
    </row>
    <row r="1048" spans="1:14" ht="31.5" x14ac:dyDescent="0.25">
      <c r="A1048" s="38">
        <v>16</v>
      </c>
      <c r="B1048" s="34" t="s">
        <v>984</v>
      </c>
      <c r="C1048" s="18">
        <v>16547000000</v>
      </c>
      <c r="D1048" s="32" t="s">
        <v>3069</v>
      </c>
      <c r="E1048" s="5">
        <v>6.3630000000000004</v>
      </c>
      <c r="F1048" s="5">
        <v>0.111</v>
      </c>
      <c r="G1048" s="5">
        <f t="shared" si="254"/>
        <v>6.4740000000000002</v>
      </c>
      <c r="H1048" s="49">
        <v>33343.513890000002</v>
      </c>
      <c r="I1048" s="49"/>
      <c r="J1048" s="5">
        <f t="shared" si="249"/>
        <v>33343.513890000002</v>
      </c>
      <c r="K1048" s="5">
        <f t="shared" si="250"/>
        <v>5150.3728591288227</v>
      </c>
      <c r="L1048" s="5">
        <f t="shared" si="251"/>
        <v>1.518430249945969</v>
      </c>
      <c r="M1048" s="5">
        <f t="shared" si="252"/>
        <v>4594.2</v>
      </c>
      <c r="N1048" s="5">
        <f t="shared" si="253"/>
        <v>0</v>
      </c>
    </row>
    <row r="1049" spans="1:14" ht="31.5" x14ac:dyDescent="0.25">
      <c r="A1049" s="38">
        <v>16</v>
      </c>
      <c r="B1049" s="34" t="s">
        <v>984</v>
      </c>
      <c r="C1049" s="18">
        <v>16548000000</v>
      </c>
      <c r="D1049" s="32" t="s">
        <v>3070</v>
      </c>
      <c r="E1049" s="5">
        <v>7.016</v>
      </c>
      <c r="F1049" s="5">
        <v>0.13200000000000001</v>
      </c>
      <c r="G1049" s="5">
        <f t="shared" si="254"/>
        <v>7.1479999999999997</v>
      </c>
      <c r="H1049" s="49">
        <v>27649.16375</v>
      </c>
      <c r="I1049" s="49"/>
      <c r="J1049" s="5">
        <f t="shared" si="249"/>
        <v>27649.16375</v>
      </c>
      <c r="K1049" s="5">
        <f t="shared" si="250"/>
        <v>3868.0978945159486</v>
      </c>
      <c r="L1049" s="5">
        <f t="shared" si="251"/>
        <v>1.1403906112107796</v>
      </c>
      <c r="M1049" s="5">
        <f t="shared" si="252"/>
        <v>489.6</v>
      </c>
      <c r="N1049" s="5">
        <f t="shared" si="253"/>
        <v>0</v>
      </c>
    </row>
    <row r="1050" spans="1:14" s="13" customFormat="1" ht="31.5" x14ac:dyDescent="0.25">
      <c r="A1050" s="38">
        <v>16</v>
      </c>
      <c r="B1050" s="34" t="s">
        <v>985</v>
      </c>
      <c r="C1050" s="18">
        <v>16549000000</v>
      </c>
      <c r="D1050" s="32" t="s">
        <v>3071</v>
      </c>
      <c r="E1050" s="5">
        <v>5.4039999999999999</v>
      </c>
      <c r="F1050" s="5">
        <v>0.10100000000000001</v>
      </c>
      <c r="G1050" s="5">
        <f t="shared" si="254"/>
        <v>5.5049999999999999</v>
      </c>
      <c r="H1050" s="49">
        <v>22685.958460000002</v>
      </c>
      <c r="I1050" s="49"/>
      <c r="J1050" s="5">
        <f t="shared" si="249"/>
        <v>22685.958460000002</v>
      </c>
      <c r="K1050" s="5">
        <f t="shared" si="250"/>
        <v>4120.9733805631249</v>
      </c>
      <c r="L1050" s="5">
        <f t="shared" si="251"/>
        <v>1.2149432306008969</v>
      </c>
      <c r="M1050" s="5">
        <f t="shared" si="252"/>
        <v>1073.0999999999999</v>
      </c>
      <c r="N1050" s="5">
        <f t="shared" si="253"/>
        <v>0</v>
      </c>
    </row>
    <row r="1051" spans="1:14" s="13" customFormat="1" ht="15.75" x14ac:dyDescent="0.25">
      <c r="A1051" s="38">
        <v>16</v>
      </c>
      <c r="B1051" s="34" t="s">
        <v>983</v>
      </c>
      <c r="C1051" s="18">
        <v>16550000000</v>
      </c>
      <c r="D1051" s="32" t="s">
        <v>3072</v>
      </c>
      <c r="E1051" s="5">
        <v>24</v>
      </c>
      <c r="F1051" s="5">
        <v>0.26</v>
      </c>
      <c r="G1051" s="5">
        <f t="shared" si="254"/>
        <v>24.26</v>
      </c>
      <c r="H1051" s="49">
        <v>80354.305810000005</v>
      </c>
      <c r="I1051" s="49">
        <f>(30.5)*0.6</f>
        <v>18.3</v>
      </c>
      <c r="J1051" s="5">
        <f t="shared" si="249"/>
        <v>80372.605810000008</v>
      </c>
      <c r="K1051" s="5">
        <f t="shared" si="250"/>
        <v>3312.9680877988458</v>
      </c>
      <c r="L1051" s="5">
        <f t="shared" si="251"/>
        <v>0.97672753006669177</v>
      </c>
      <c r="M1051" s="5">
        <f t="shared" si="252"/>
        <v>0</v>
      </c>
      <c r="N1051" s="5">
        <f t="shared" si="253"/>
        <v>0</v>
      </c>
    </row>
    <row r="1052" spans="1:14" s="13" customFormat="1" ht="31.5" x14ac:dyDescent="0.25">
      <c r="A1052" s="38">
        <v>16</v>
      </c>
      <c r="B1052" s="34" t="s">
        <v>985</v>
      </c>
      <c r="C1052" s="18">
        <v>16551000000</v>
      </c>
      <c r="D1052" s="32" t="s">
        <v>3073</v>
      </c>
      <c r="E1052" s="5">
        <v>10.01</v>
      </c>
      <c r="F1052" s="5">
        <v>0.14299999999999999</v>
      </c>
      <c r="G1052" s="5">
        <f t="shared" si="254"/>
        <v>10.153</v>
      </c>
      <c r="H1052" s="49">
        <v>36186.80171</v>
      </c>
      <c r="I1052" s="49"/>
      <c r="J1052" s="5">
        <f t="shared" si="249"/>
        <v>36186.80171</v>
      </c>
      <c r="K1052" s="5">
        <f t="shared" si="250"/>
        <v>3564.1486959519352</v>
      </c>
      <c r="L1052" s="5">
        <f t="shared" si="251"/>
        <v>1.050780466436815</v>
      </c>
      <c r="M1052" s="5">
        <f t="shared" si="252"/>
        <v>0</v>
      </c>
      <c r="N1052" s="5">
        <f t="shared" si="253"/>
        <v>0</v>
      </c>
    </row>
    <row r="1053" spans="1:14" s="13" customFormat="1" ht="31.5" x14ac:dyDescent="0.25">
      <c r="A1053" s="38">
        <v>16</v>
      </c>
      <c r="B1053" s="34" t="s">
        <v>985</v>
      </c>
      <c r="C1053" s="18">
        <v>16553000000</v>
      </c>
      <c r="D1053" s="32" t="s">
        <v>3074</v>
      </c>
      <c r="E1053" s="5">
        <v>4.9039999999999999</v>
      </c>
      <c r="F1053" s="5">
        <v>0.113</v>
      </c>
      <c r="G1053" s="5">
        <f t="shared" si="254"/>
        <v>5.0170000000000003</v>
      </c>
      <c r="H1053" s="49">
        <v>7986.9004400000003</v>
      </c>
      <c r="I1053" s="49"/>
      <c r="J1053" s="5">
        <f t="shared" ref="J1053:J1072" si="255">H1053+I1053</f>
        <v>7986.9004400000003</v>
      </c>
      <c r="K1053" s="5">
        <f t="shared" ref="K1053:K1073" si="256">J1053/G1053</f>
        <v>1591.9673988439306</v>
      </c>
      <c r="L1053" s="5">
        <f t="shared" si="251"/>
        <v>0.46934300126404915</v>
      </c>
      <c r="M1053" s="5">
        <f t="shared" si="252"/>
        <v>0</v>
      </c>
      <c r="N1053" s="5">
        <f t="shared" si="253"/>
        <v>5862.9</v>
      </c>
    </row>
    <row r="1054" spans="1:14" s="13" customFormat="1" ht="15.75" x14ac:dyDescent="0.25">
      <c r="A1054" s="38">
        <v>16</v>
      </c>
      <c r="B1054" s="34" t="s">
        <v>985</v>
      </c>
      <c r="C1054" s="89">
        <v>16554000000</v>
      </c>
      <c r="D1054" s="32" t="s">
        <v>2228</v>
      </c>
      <c r="E1054" s="5">
        <v>11.492000000000001</v>
      </c>
      <c r="F1054" s="5">
        <v>0.157</v>
      </c>
      <c r="G1054" s="5">
        <f t="shared" si="254"/>
        <v>11.649000000000001</v>
      </c>
      <c r="H1054" s="49">
        <v>32631.315419999999</v>
      </c>
      <c r="I1054" s="49"/>
      <c r="J1054" s="5">
        <f t="shared" si="255"/>
        <v>32631.315419999999</v>
      </c>
      <c r="K1054" s="5">
        <f t="shared" si="256"/>
        <v>2801.2117280453253</v>
      </c>
      <c r="L1054" s="5">
        <f t="shared" si="251"/>
        <v>0.82585178601747022</v>
      </c>
      <c r="M1054" s="5">
        <f t="shared" si="252"/>
        <v>0</v>
      </c>
      <c r="N1054" s="5">
        <f t="shared" si="253"/>
        <v>2343.8000000000002</v>
      </c>
    </row>
    <row r="1055" spans="1:14" s="13" customFormat="1" ht="31.5" x14ac:dyDescent="0.25">
      <c r="A1055" s="38">
        <v>16</v>
      </c>
      <c r="B1055" s="34" t="s">
        <v>984</v>
      </c>
      <c r="C1055" s="18">
        <v>16555000000</v>
      </c>
      <c r="D1055" s="32" t="s">
        <v>2229</v>
      </c>
      <c r="E1055" s="5">
        <v>4.4379999999999997</v>
      </c>
      <c r="F1055" s="5">
        <v>4.7E-2</v>
      </c>
      <c r="G1055" s="5">
        <f t="shared" si="254"/>
        <v>4.4849999999999994</v>
      </c>
      <c r="H1055" s="49">
        <v>11450.593430000001</v>
      </c>
      <c r="I1055" s="49"/>
      <c r="J1055" s="5">
        <f t="shared" si="255"/>
        <v>11450.593430000001</v>
      </c>
      <c r="K1055" s="5">
        <f t="shared" si="256"/>
        <v>2553.0866064659981</v>
      </c>
      <c r="L1055" s="5">
        <f t="shared" si="251"/>
        <v>0.75269966661124532</v>
      </c>
      <c r="M1055" s="5">
        <f t="shared" si="252"/>
        <v>0</v>
      </c>
      <c r="N1055" s="5">
        <f t="shared" si="253"/>
        <v>1792.7</v>
      </c>
    </row>
    <row r="1056" spans="1:14" s="13" customFormat="1" ht="15.75" x14ac:dyDescent="0.25">
      <c r="A1056" s="38">
        <v>16</v>
      </c>
      <c r="B1056" s="34" t="s">
        <v>985</v>
      </c>
      <c r="C1056" s="18">
        <v>16556000000</v>
      </c>
      <c r="D1056" s="32" t="s">
        <v>3075</v>
      </c>
      <c r="E1056" s="5">
        <v>15.215</v>
      </c>
      <c r="F1056" s="5">
        <v>0.112</v>
      </c>
      <c r="G1056" s="5">
        <f t="shared" si="254"/>
        <v>15.327</v>
      </c>
      <c r="H1056" s="49">
        <v>31688.36695</v>
      </c>
      <c r="I1056" s="49"/>
      <c r="J1056" s="5">
        <f t="shared" si="255"/>
        <v>31688.36695</v>
      </c>
      <c r="K1056" s="5">
        <f t="shared" si="256"/>
        <v>2067.486589025902</v>
      </c>
      <c r="L1056" s="5">
        <f t="shared" si="251"/>
        <v>0.60953532181076941</v>
      </c>
      <c r="M1056" s="5">
        <f t="shared" si="252"/>
        <v>0</v>
      </c>
      <c r="N1056" s="5">
        <f t="shared" si="253"/>
        <v>12080.5</v>
      </c>
    </row>
    <row r="1057" spans="1:14" s="13" customFormat="1" ht="31.5" x14ac:dyDescent="0.25">
      <c r="A1057" s="38">
        <v>16</v>
      </c>
      <c r="B1057" s="34" t="s">
        <v>985</v>
      </c>
      <c r="C1057" s="18">
        <v>16557000000</v>
      </c>
      <c r="D1057" s="32" t="s">
        <v>3076</v>
      </c>
      <c r="E1057" s="5">
        <v>17.937000000000001</v>
      </c>
      <c r="F1057" s="5">
        <v>0.23599999999999999</v>
      </c>
      <c r="G1057" s="5">
        <f t="shared" si="254"/>
        <v>18.173000000000002</v>
      </c>
      <c r="H1057" s="49">
        <v>79001.232139999993</v>
      </c>
      <c r="I1057" s="49">
        <f>(14.9)*0.6</f>
        <v>8.94</v>
      </c>
      <c r="J1057" s="5">
        <f t="shared" si="255"/>
        <v>79010.172139999995</v>
      </c>
      <c r="K1057" s="5">
        <f t="shared" si="256"/>
        <v>4347.6680867220593</v>
      </c>
      <c r="L1057" s="5">
        <f t="shared" si="251"/>
        <v>1.2817772460691603</v>
      </c>
      <c r="M1057" s="5">
        <f t="shared" si="252"/>
        <v>5602.5</v>
      </c>
      <c r="N1057" s="5">
        <f t="shared" si="253"/>
        <v>0</v>
      </c>
    </row>
    <row r="1058" spans="1:14" s="13" customFormat="1" ht="15.75" x14ac:dyDescent="0.25">
      <c r="A1058" s="38">
        <v>16</v>
      </c>
      <c r="B1058" s="34" t="s">
        <v>983</v>
      </c>
      <c r="C1058" s="18">
        <v>16558000000</v>
      </c>
      <c r="D1058" s="32" t="s">
        <v>2232</v>
      </c>
      <c r="E1058" s="5">
        <v>11.324</v>
      </c>
      <c r="F1058" s="5">
        <v>0.11899999999999999</v>
      </c>
      <c r="G1058" s="5">
        <f t="shared" si="254"/>
        <v>11.443</v>
      </c>
      <c r="H1058" s="49">
        <v>24138.315070000001</v>
      </c>
      <c r="I1058" s="49"/>
      <c r="J1058" s="5">
        <f t="shared" si="255"/>
        <v>24138.315070000001</v>
      </c>
      <c r="K1058" s="5">
        <f t="shared" si="256"/>
        <v>2109.4394013807569</v>
      </c>
      <c r="L1058" s="5">
        <f t="shared" si="251"/>
        <v>0.62190382814852097</v>
      </c>
      <c r="M1058" s="5">
        <f t="shared" si="252"/>
        <v>0</v>
      </c>
      <c r="N1058" s="5">
        <f t="shared" si="253"/>
        <v>8635.1</v>
      </c>
    </row>
    <row r="1059" spans="1:14" s="13" customFormat="1" ht="31.5" x14ac:dyDescent="0.25">
      <c r="A1059" s="38">
        <v>16</v>
      </c>
      <c r="B1059" s="34" t="s">
        <v>984</v>
      </c>
      <c r="C1059" s="18">
        <v>16559000000</v>
      </c>
      <c r="D1059" s="32" t="s">
        <v>2233</v>
      </c>
      <c r="E1059" s="5">
        <v>11.069000000000001</v>
      </c>
      <c r="F1059" s="5">
        <v>7.5999999999999998E-2</v>
      </c>
      <c r="G1059" s="5">
        <f t="shared" si="254"/>
        <v>11.145000000000001</v>
      </c>
      <c r="H1059" s="49">
        <v>12116.404850000001</v>
      </c>
      <c r="I1059" s="49">
        <f>(-4587.1)*0.6</f>
        <v>-2752.26</v>
      </c>
      <c r="J1059" s="5">
        <f t="shared" si="255"/>
        <v>9364.1448500000006</v>
      </c>
      <c r="K1059" s="5">
        <f t="shared" si="256"/>
        <v>840.2103947958725</v>
      </c>
      <c r="L1059" s="5">
        <f t="shared" si="251"/>
        <v>0.2477103919798338</v>
      </c>
      <c r="M1059" s="5">
        <f t="shared" si="252"/>
        <v>0</v>
      </c>
      <c r="N1059" s="5">
        <f t="shared" si="253"/>
        <v>19726.7</v>
      </c>
    </row>
    <row r="1060" spans="1:14" s="13" customFormat="1" ht="15.75" x14ac:dyDescent="0.25">
      <c r="A1060" s="38">
        <v>16</v>
      </c>
      <c r="B1060" s="34" t="s">
        <v>983</v>
      </c>
      <c r="C1060" s="18">
        <v>16560000000</v>
      </c>
      <c r="D1060" s="32" t="s">
        <v>2234</v>
      </c>
      <c r="E1060" s="5">
        <v>20.492000000000001</v>
      </c>
      <c r="F1060" s="5">
        <v>0.38400000000000001</v>
      </c>
      <c r="G1060" s="5">
        <f t="shared" si="254"/>
        <v>20.876000000000001</v>
      </c>
      <c r="H1060" s="49">
        <v>66635.823369999998</v>
      </c>
      <c r="I1060" s="49"/>
      <c r="J1060" s="5">
        <f t="shared" si="255"/>
        <v>66635.823369999998</v>
      </c>
      <c r="K1060" s="5">
        <f t="shared" si="256"/>
        <v>3191.98234192374</v>
      </c>
      <c r="L1060" s="5">
        <f t="shared" si="251"/>
        <v>0.94105857533782766</v>
      </c>
      <c r="M1060" s="5">
        <f t="shared" si="252"/>
        <v>0</v>
      </c>
      <c r="N1060" s="5">
        <f t="shared" si="253"/>
        <v>0</v>
      </c>
    </row>
    <row r="1061" spans="1:14" s="13" customFormat="1" ht="15.75" x14ac:dyDescent="0.25">
      <c r="A1061" s="38">
        <v>16</v>
      </c>
      <c r="B1061" s="34" t="s">
        <v>983</v>
      </c>
      <c r="C1061" s="18">
        <v>16561000000</v>
      </c>
      <c r="D1061" s="32" t="s">
        <v>2235</v>
      </c>
      <c r="E1061" s="5">
        <v>25.978000000000002</v>
      </c>
      <c r="F1061" s="5">
        <v>0.28399999999999997</v>
      </c>
      <c r="G1061" s="5">
        <f t="shared" si="254"/>
        <v>26.262</v>
      </c>
      <c r="H1061" s="49">
        <v>67901.658320000002</v>
      </c>
      <c r="I1061" s="49">
        <f>(59.5+7.4)*0.6</f>
        <v>40.14</v>
      </c>
      <c r="J1061" s="5">
        <f t="shared" si="255"/>
        <v>67941.798320000002</v>
      </c>
      <c r="K1061" s="5">
        <f t="shared" si="256"/>
        <v>2587.0763201584036</v>
      </c>
      <c r="L1061" s="5">
        <f t="shared" si="251"/>
        <v>0.76272049633934413</v>
      </c>
      <c r="M1061" s="5">
        <f t="shared" si="252"/>
        <v>0</v>
      </c>
      <c r="N1061" s="5">
        <f t="shared" si="253"/>
        <v>9782.9</v>
      </c>
    </row>
    <row r="1062" spans="1:14" s="12" customFormat="1" ht="31.5" x14ac:dyDescent="0.25">
      <c r="A1062" s="38">
        <v>16</v>
      </c>
      <c r="B1062" s="34" t="s">
        <v>985</v>
      </c>
      <c r="C1062" s="18">
        <v>16562000000</v>
      </c>
      <c r="D1062" s="32" t="s">
        <v>2236</v>
      </c>
      <c r="E1062" s="5">
        <v>8.3330000000000002</v>
      </c>
      <c r="F1062" s="5">
        <v>0.16600000000000001</v>
      </c>
      <c r="G1062" s="5">
        <f t="shared" si="254"/>
        <v>8.4990000000000006</v>
      </c>
      <c r="H1062" s="49">
        <v>39784.160309999999</v>
      </c>
      <c r="I1062" s="49">
        <f>(-10110.318)*0.6</f>
        <v>-6066.1907999999994</v>
      </c>
      <c r="J1062" s="5">
        <f t="shared" si="255"/>
        <v>33717.969510000003</v>
      </c>
      <c r="K1062" s="5">
        <f t="shared" si="256"/>
        <v>3967.2866819625838</v>
      </c>
      <c r="L1062" s="5">
        <f t="shared" si="251"/>
        <v>1.1696333979825138</v>
      </c>
      <c r="M1062" s="5">
        <f t="shared" si="252"/>
        <v>1003.7</v>
      </c>
      <c r="N1062" s="5">
        <f t="shared" si="253"/>
        <v>0</v>
      </c>
    </row>
    <row r="1063" spans="1:14" ht="31.5" x14ac:dyDescent="0.25">
      <c r="A1063" s="38">
        <v>16</v>
      </c>
      <c r="B1063" s="34" t="s">
        <v>985</v>
      </c>
      <c r="C1063" s="18">
        <v>16563000000</v>
      </c>
      <c r="D1063" s="32" t="s">
        <v>2237</v>
      </c>
      <c r="E1063" s="5">
        <v>14.304</v>
      </c>
      <c r="F1063" s="5">
        <v>0.20200000000000001</v>
      </c>
      <c r="G1063" s="5">
        <f t="shared" si="254"/>
        <v>14.506</v>
      </c>
      <c r="H1063" s="49">
        <v>56714.439429999999</v>
      </c>
      <c r="I1063" s="49"/>
      <c r="J1063" s="5">
        <f t="shared" si="255"/>
        <v>56714.439429999999</v>
      </c>
      <c r="K1063" s="5">
        <f t="shared" si="256"/>
        <v>3909.7228339997241</v>
      </c>
      <c r="L1063" s="5">
        <f t="shared" si="251"/>
        <v>1.152662454239058</v>
      </c>
      <c r="M1063" s="5">
        <f t="shared" si="252"/>
        <v>1295.5999999999999</v>
      </c>
      <c r="N1063" s="5">
        <f t="shared" si="253"/>
        <v>0</v>
      </c>
    </row>
    <row r="1064" spans="1:14" ht="31.5" x14ac:dyDescent="0.25">
      <c r="A1064" s="38">
        <v>16</v>
      </c>
      <c r="B1064" s="34" t="s">
        <v>986</v>
      </c>
      <c r="C1064" s="18">
        <v>16564000000</v>
      </c>
      <c r="D1064" s="32" t="s">
        <v>2238</v>
      </c>
      <c r="E1064" s="5">
        <v>220.619</v>
      </c>
      <c r="F1064" s="5">
        <v>3.169</v>
      </c>
      <c r="G1064" s="5">
        <f t="shared" si="254"/>
        <v>223.78800000000001</v>
      </c>
      <c r="H1064" s="49">
        <v>1027056.5041500001</v>
      </c>
      <c r="I1064" s="49">
        <f>(4587.1+7.6+46.1+105)*0.6</f>
        <v>2847.4800000000005</v>
      </c>
      <c r="J1064" s="5">
        <f t="shared" si="255"/>
        <v>1029903.98415</v>
      </c>
      <c r="K1064" s="5">
        <f t="shared" si="256"/>
        <v>4602.1412414874794</v>
      </c>
      <c r="L1064" s="5">
        <f t="shared" si="251"/>
        <v>1.3568008893205645</v>
      </c>
      <c r="M1064" s="5">
        <f t="shared" si="252"/>
        <v>97464.7</v>
      </c>
      <c r="N1064" s="5">
        <f t="shared" si="253"/>
        <v>0</v>
      </c>
    </row>
    <row r="1065" spans="1:14" ht="15.75" x14ac:dyDescent="0.25">
      <c r="A1065" s="38">
        <v>16</v>
      </c>
      <c r="B1065" s="34" t="s">
        <v>986</v>
      </c>
      <c r="C1065" s="18">
        <v>16565000000</v>
      </c>
      <c r="D1065" s="32" t="s">
        <v>2239</v>
      </c>
      <c r="E1065" s="5">
        <v>68.456999999999994</v>
      </c>
      <c r="F1065" s="5">
        <v>0.95899999999999996</v>
      </c>
      <c r="G1065" s="5">
        <f t="shared" si="254"/>
        <v>69.415999999999997</v>
      </c>
      <c r="H1065" s="49">
        <v>199556.94734000001</v>
      </c>
      <c r="I1065" s="49"/>
      <c r="J1065" s="5">
        <f t="shared" si="255"/>
        <v>199556.94734000001</v>
      </c>
      <c r="K1065" s="5">
        <f t="shared" si="256"/>
        <v>2874.7975587760752</v>
      </c>
      <c r="L1065" s="5">
        <f t="shared" si="251"/>
        <v>0.84754632239475969</v>
      </c>
      <c r="M1065" s="5">
        <f t="shared" si="252"/>
        <v>0</v>
      </c>
      <c r="N1065" s="5">
        <f t="shared" si="253"/>
        <v>9880.2999999999993</v>
      </c>
    </row>
    <row r="1066" spans="1:14" ht="15.75" x14ac:dyDescent="0.25">
      <c r="A1066" s="38">
        <v>16</v>
      </c>
      <c r="B1066" s="34" t="s">
        <v>984</v>
      </c>
      <c r="C1066" s="18">
        <v>16566000000</v>
      </c>
      <c r="D1066" s="32" t="s">
        <v>3077</v>
      </c>
      <c r="E1066" s="5">
        <v>5.1520000000000001</v>
      </c>
      <c r="F1066" s="5">
        <v>0.152</v>
      </c>
      <c r="G1066" s="5">
        <f t="shared" si="254"/>
        <v>5.3040000000000003</v>
      </c>
      <c r="H1066" s="49">
        <v>14199.505380000001</v>
      </c>
      <c r="I1066" s="49"/>
      <c r="J1066" s="5">
        <f t="shared" si="255"/>
        <v>14199.505380000001</v>
      </c>
      <c r="K1066" s="5">
        <f t="shared" si="256"/>
        <v>2677.1314819004524</v>
      </c>
      <c r="L1066" s="5">
        <f t="shared" si="251"/>
        <v>0.7892705123271252</v>
      </c>
      <c r="M1066" s="5">
        <f t="shared" si="252"/>
        <v>0</v>
      </c>
      <c r="N1066" s="5">
        <f t="shared" si="253"/>
        <v>1593.7</v>
      </c>
    </row>
    <row r="1067" spans="1:14" ht="31.5" x14ac:dyDescent="0.25">
      <c r="A1067" s="38">
        <v>16</v>
      </c>
      <c r="B1067" s="34" t="s">
        <v>984</v>
      </c>
      <c r="C1067" s="18">
        <v>16567000000</v>
      </c>
      <c r="D1067" s="32" t="s">
        <v>2823</v>
      </c>
      <c r="E1067" s="5">
        <v>4.6100000000000003</v>
      </c>
      <c r="F1067" s="5">
        <v>5.8000000000000003E-2</v>
      </c>
      <c r="G1067" s="5">
        <f t="shared" si="254"/>
        <v>4.6680000000000001</v>
      </c>
      <c r="H1067" s="49">
        <v>12694.01597</v>
      </c>
      <c r="I1067" s="49"/>
      <c r="J1067" s="5">
        <f t="shared" si="255"/>
        <v>12694.01597</v>
      </c>
      <c r="K1067" s="5">
        <f t="shared" si="256"/>
        <v>2719.3693166238218</v>
      </c>
      <c r="L1067" s="5">
        <f t="shared" si="251"/>
        <v>0.80172304881145084</v>
      </c>
      <c r="M1067" s="5">
        <f t="shared" si="252"/>
        <v>0</v>
      </c>
      <c r="N1067" s="5">
        <f t="shared" si="253"/>
        <v>1244.8</v>
      </c>
    </row>
    <row r="1068" spans="1:14" ht="31.5" x14ac:dyDescent="0.25">
      <c r="A1068" s="38">
        <v>16</v>
      </c>
      <c r="B1068" s="34" t="s">
        <v>986</v>
      </c>
      <c r="C1068" s="18">
        <v>16568000000</v>
      </c>
      <c r="D1068" s="32" t="s">
        <v>2241</v>
      </c>
      <c r="E1068" s="5">
        <v>49.594999999999999</v>
      </c>
      <c r="F1068" s="5">
        <v>2.2909999999999999</v>
      </c>
      <c r="G1068" s="5">
        <f t="shared" si="254"/>
        <v>51.885999999999996</v>
      </c>
      <c r="H1068" s="49">
        <v>164118.07248</v>
      </c>
      <c r="I1068" s="49">
        <f>(10110.318)*0.6</f>
        <v>6066.1907999999994</v>
      </c>
      <c r="J1068" s="5">
        <f t="shared" si="255"/>
        <v>170184.26328000001</v>
      </c>
      <c r="K1068" s="5">
        <f t="shared" si="256"/>
        <v>3279.9649863161553</v>
      </c>
      <c r="L1068" s="5">
        <f t="shared" si="251"/>
        <v>0.96699757283756982</v>
      </c>
      <c r="M1068" s="5">
        <f t="shared" si="252"/>
        <v>0</v>
      </c>
      <c r="N1068" s="5">
        <f t="shared" si="253"/>
        <v>0</v>
      </c>
    </row>
    <row r="1069" spans="1:14" ht="15.75" x14ac:dyDescent="0.25">
      <c r="A1069" s="38">
        <v>16</v>
      </c>
      <c r="B1069" s="34" t="s">
        <v>985</v>
      </c>
      <c r="C1069" s="18">
        <v>16569000000</v>
      </c>
      <c r="D1069" s="32" t="s">
        <v>2242</v>
      </c>
      <c r="E1069" s="5">
        <v>15.441000000000001</v>
      </c>
      <c r="F1069" s="5">
        <v>0.16700000000000001</v>
      </c>
      <c r="G1069" s="5">
        <f t="shared" si="254"/>
        <v>15.608000000000001</v>
      </c>
      <c r="H1069" s="49">
        <v>48076.755250000002</v>
      </c>
      <c r="I1069" s="49"/>
      <c r="J1069" s="5">
        <f t="shared" si="255"/>
        <v>48076.755250000002</v>
      </c>
      <c r="K1069" s="5">
        <f t="shared" si="256"/>
        <v>3080.2636628651971</v>
      </c>
      <c r="L1069" s="5">
        <f t="shared" si="251"/>
        <v>0.90812173243220728</v>
      </c>
      <c r="M1069" s="5">
        <f t="shared" si="252"/>
        <v>0</v>
      </c>
      <c r="N1069" s="5">
        <f t="shared" si="253"/>
        <v>0</v>
      </c>
    </row>
    <row r="1070" spans="1:14" ht="15.75" x14ac:dyDescent="0.25">
      <c r="A1070" s="38">
        <v>16</v>
      </c>
      <c r="B1070" s="34" t="s">
        <v>986</v>
      </c>
      <c r="C1070" s="18">
        <v>16570000000</v>
      </c>
      <c r="D1070" s="32" t="s">
        <v>2243</v>
      </c>
      <c r="E1070" s="5">
        <v>309.64699999999999</v>
      </c>
      <c r="F1070" s="5">
        <v>6.45</v>
      </c>
      <c r="G1070" s="5">
        <f t="shared" si="254"/>
        <v>316.09699999999998</v>
      </c>
      <c r="H1070" s="49">
        <v>1776333.0385400001</v>
      </c>
      <c r="I1070" s="49">
        <f>(250.9-16.8-2.8-59.5-0.5+110.6-20.4-33.2-33.7-14.9-30.5-7.4-21.8-10.2-11.6-57.1-147.9-420.3+91.3-18.2-0.6-1.9-183.9-2-1.6-11.1-1.3-13.4-10.8-7.6-7.8-8.3-2-35.8-12.1-9-172.8-5.3-67.3-20.4-786.7-11-132.8-585-29383.1-91-6.7-151.5-1.3-19.8-1.8-40-46.7-13-4.5-49-3.8-26.3-39.5-6.6-22.8-30.9-190.7-7.6-46.1-105-3.3)*0.6</f>
        <v>-19701.3</v>
      </c>
      <c r="J1070" s="5">
        <f t="shared" si="255"/>
        <v>1756631.73854</v>
      </c>
      <c r="K1070" s="5">
        <f t="shared" si="256"/>
        <v>5557.2553315596169</v>
      </c>
      <c r="L1070" s="5">
        <f t="shared" si="251"/>
        <v>1.6383871290322394</v>
      </c>
      <c r="M1070" s="5">
        <f t="shared" si="252"/>
        <v>288621.59999999998</v>
      </c>
      <c r="N1070" s="5">
        <f t="shared" si="253"/>
        <v>0</v>
      </c>
    </row>
    <row r="1071" spans="1:14" ht="15.75" x14ac:dyDescent="0.25">
      <c r="A1071" s="38">
        <v>16</v>
      </c>
      <c r="B1071" s="34" t="s">
        <v>983</v>
      </c>
      <c r="C1071" s="18">
        <v>16571000000</v>
      </c>
      <c r="D1071" s="32" t="s">
        <v>2244</v>
      </c>
      <c r="E1071" s="5">
        <v>32.191000000000003</v>
      </c>
      <c r="F1071" s="5">
        <v>0.36699999999999999</v>
      </c>
      <c r="G1071" s="5">
        <f t="shared" si="254"/>
        <v>32.558</v>
      </c>
      <c r="H1071" s="49">
        <v>113013.79286</v>
      </c>
      <c r="I1071" s="49"/>
      <c r="J1071" s="5">
        <f t="shared" si="255"/>
        <v>113013.79286</v>
      </c>
      <c r="K1071" s="5">
        <f t="shared" si="256"/>
        <v>3471.1527999262853</v>
      </c>
      <c r="L1071" s="5">
        <f t="shared" si="251"/>
        <v>1.0233634646956902</v>
      </c>
      <c r="M1071" s="5">
        <f t="shared" si="252"/>
        <v>0</v>
      </c>
      <c r="N1071" s="5">
        <f t="shared" si="253"/>
        <v>0</v>
      </c>
    </row>
    <row r="1072" spans="1:14" ht="15.75" x14ac:dyDescent="0.25">
      <c r="A1072" s="38">
        <v>16</v>
      </c>
      <c r="B1072" s="34" t="s">
        <v>985</v>
      </c>
      <c r="C1072" s="18">
        <v>16572000000</v>
      </c>
      <c r="D1072" s="32" t="s">
        <v>2245</v>
      </c>
      <c r="E1072" s="5">
        <v>13.122</v>
      </c>
      <c r="F1072" s="5">
        <v>0.1</v>
      </c>
      <c r="G1072" s="5">
        <f t="shared" si="254"/>
        <v>13.222</v>
      </c>
      <c r="H1072" s="49">
        <v>47622.050029999999</v>
      </c>
      <c r="I1072" s="49">
        <f>(420.3)*0.6</f>
        <v>252.18</v>
      </c>
      <c r="J1072" s="5">
        <f t="shared" si="255"/>
        <v>47874.230029999999</v>
      </c>
      <c r="K1072" s="5">
        <f t="shared" si="256"/>
        <v>3620.8009400998335</v>
      </c>
      <c r="L1072" s="5">
        <f t="shared" si="251"/>
        <v>1.0674826516172571</v>
      </c>
      <c r="M1072" s="5">
        <f t="shared" si="252"/>
        <v>0</v>
      </c>
      <c r="N1072" s="5">
        <f t="shared" si="253"/>
        <v>0</v>
      </c>
    </row>
    <row r="1073" spans="1:14" ht="15.75" x14ac:dyDescent="0.25">
      <c r="A1073" s="36">
        <v>17</v>
      </c>
      <c r="B1073" s="17" t="s">
        <v>7</v>
      </c>
      <c r="C1073" s="17" t="s">
        <v>802</v>
      </c>
      <c r="D1073" s="11" t="s">
        <v>19</v>
      </c>
      <c r="E1073" s="11">
        <f t="shared" ref="E1073:J1073" si="257">E1074+E1075+E1080</f>
        <v>1148.4559999999999</v>
      </c>
      <c r="F1073" s="11">
        <f t="shared" si="257"/>
        <v>3.1140000000000003</v>
      </c>
      <c r="G1073" s="11">
        <f t="shared" si="257"/>
        <v>1151.194</v>
      </c>
      <c r="H1073" s="11">
        <f t="shared" si="257"/>
        <v>3140387.5895030005</v>
      </c>
      <c r="I1073" s="11">
        <f t="shared" si="257"/>
        <v>1491.6954179999957</v>
      </c>
      <c r="J1073" s="11">
        <f t="shared" si="257"/>
        <v>3141879.2849209998</v>
      </c>
      <c r="K1073" s="11">
        <f t="shared" si="256"/>
        <v>2729.2352852090958</v>
      </c>
      <c r="L1073" s="11">
        <f t="shared" si="251"/>
        <v>0.80463172854292764</v>
      </c>
      <c r="M1073" s="11">
        <f>M1074+M1075+M1080</f>
        <v>196279.59999999998</v>
      </c>
      <c r="N1073" s="11">
        <f>N1074+N1075+N1080</f>
        <v>811229.7</v>
      </c>
    </row>
    <row r="1074" spans="1:14" ht="15.75" x14ac:dyDescent="0.25">
      <c r="A1074" s="38">
        <v>17</v>
      </c>
      <c r="B1074" s="34" t="s">
        <v>6</v>
      </c>
      <c r="C1074" s="18" t="s">
        <v>157</v>
      </c>
      <c r="D1074" s="32" t="s">
        <v>855</v>
      </c>
      <c r="E1074" s="5">
        <v>0</v>
      </c>
      <c r="F1074" s="5">
        <v>0.376</v>
      </c>
      <c r="G1074" s="5"/>
      <c r="H1074" s="49"/>
      <c r="I1074" s="49"/>
      <c r="J1074" s="5"/>
      <c r="K1074" s="5"/>
      <c r="L1074" s="5"/>
      <c r="M1074" s="5"/>
      <c r="N1074" s="5"/>
    </row>
    <row r="1075" spans="1:14" ht="15.75" x14ac:dyDescent="0.25">
      <c r="A1075" s="37">
        <v>17</v>
      </c>
      <c r="B1075" s="19" t="s">
        <v>5</v>
      </c>
      <c r="C1075" s="19" t="s">
        <v>803</v>
      </c>
      <c r="D1075" s="7" t="s">
        <v>2810</v>
      </c>
      <c r="E1075" s="7">
        <f t="shared" ref="E1075:J1075" si="258">SUM(E1076:E1079)</f>
        <v>0</v>
      </c>
      <c r="F1075" s="7">
        <f t="shared" si="258"/>
        <v>0</v>
      </c>
      <c r="G1075" s="7">
        <f t="shared" si="258"/>
        <v>0</v>
      </c>
      <c r="H1075" s="7">
        <f t="shared" si="258"/>
        <v>0</v>
      </c>
      <c r="I1075" s="7">
        <f t="shared" si="258"/>
        <v>0</v>
      </c>
      <c r="J1075" s="7">
        <f t="shared" si="258"/>
        <v>0</v>
      </c>
      <c r="K1075" s="7" t="e">
        <f>J1075/G1075</f>
        <v>#DIV/0!</v>
      </c>
      <c r="L1075" s="7" t="e">
        <f>K1075/$K$1659</f>
        <v>#DIV/0!</v>
      </c>
      <c r="M1075" s="7">
        <f>SUM(M1076:M1079)</f>
        <v>0</v>
      </c>
      <c r="N1075" s="7">
        <f>SUM(N1076:N1079)</f>
        <v>0</v>
      </c>
    </row>
    <row r="1076" spans="1:14" ht="15.75" x14ac:dyDescent="0.25">
      <c r="A1076" s="38">
        <v>17</v>
      </c>
      <c r="B1076" s="34" t="s">
        <v>4</v>
      </c>
      <c r="C1076" s="18" t="s">
        <v>158</v>
      </c>
      <c r="D1076" s="32" t="s">
        <v>941</v>
      </c>
      <c r="E1076" s="76"/>
      <c r="F1076" s="76"/>
      <c r="G1076" s="5"/>
      <c r="H1076" s="5"/>
      <c r="I1076" s="5"/>
      <c r="J1076" s="5"/>
      <c r="K1076" s="5"/>
      <c r="L1076" s="5"/>
      <c r="M1076" s="5"/>
      <c r="N1076" s="5"/>
    </row>
    <row r="1077" spans="1:14" ht="15.75" x14ac:dyDescent="0.25">
      <c r="A1077" s="38">
        <v>17</v>
      </c>
      <c r="B1077" s="34" t="s">
        <v>4</v>
      </c>
      <c r="C1077" s="18" t="s">
        <v>159</v>
      </c>
      <c r="D1077" s="32" t="s">
        <v>942</v>
      </c>
      <c r="E1077" s="76"/>
      <c r="F1077" s="76"/>
      <c r="G1077" s="5"/>
      <c r="H1077" s="5"/>
      <c r="I1077" s="5"/>
      <c r="J1077" s="5"/>
      <c r="K1077" s="5"/>
      <c r="L1077" s="5"/>
      <c r="M1077" s="5"/>
      <c r="N1077" s="5"/>
    </row>
    <row r="1078" spans="1:14" ht="15.75" x14ac:dyDescent="0.25">
      <c r="A1078" s="38">
        <v>17</v>
      </c>
      <c r="B1078" s="34" t="s">
        <v>4</v>
      </c>
      <c r="C1078" s="18" t="s">
        <v>160</v>
      </c>
      <c r="D1078" s="32" t="s">
        <v>943</v>
      </c>
      <c r="E1078" s="76"/>
      <c r="F1078" s="76"/>
      <c r="G1078" s="5"/>
      <c r="H1078" s="5"/>
      <c r="I1078" s="5"/>
      <c r="J1078" s="5"/>
      <c r="K1078" s="5"/>
      <c r="L1078" s="5"/>
      <c r="M1078" s="5"/>
      <c r="N1078" s="5"/>
    </row>
    <row r="1079" spans="1:14" ht="15.75" x14ac:dyDescent="0.25">
      <c r="A1079" s="38">
        <v>17</v>
      </c>
      <c r="B1079" s="34" t="s">
        <v>4</v>
      </c>
      <c r="C1079" s="18">
        <v>17317200000</v>
      </c>
      <c r="D1079" s="32" t="s">
        <v>2246</v>
      </c>
      <c r="E1079" s="76"/>
      <c r="F1079" s="76"/>
      <c r="G1079" s="5"/>
      <c r="H1079" s="5"/>
      <c r="I1079" s="5"/>
      <c r="J1079" s="5"/>
      <c r="K1079" s="5"/>
      <c r="L1079" s="5"/>
      <c r="M1079" s="5"/>
      <c r="N1079" s="5"/>
    </row>
    <row r="1080" spans="1:14" ht="31.5" x14ac:dyDescent="0.25">
      <c r="A1080" s="37">
        <v>17</v>
      </c>
      <c r="B1080" s="19" t="s">
        <v>28</v>
      </c>
      <c r="C1080" s="19" t="s">
        <v>804</v>
      </c>
      <c r="D1080" s="20" t="s">
        <v>2783</v>
      </c>
      <c r="E1080" s="7">
        <f t="shared" ref="E1080:J1080" si="259">SUM(E1081:E1144)</f>
        <v>1148.4559999999999</v>
      </c>
      <c r="F1080" s="7">
        <f t="shared" si="259"/>
        <v>2.7380000000000004</v>
      </c>
      <c r="G1080" s="7">
        <f t="shared" si="259"/>
        <v>1151.194</v>
      </c>
      <c r="H1080" s="7">
        <f t="shared" si="259"/>
        <v>3140387.5895030005</v>
      </c>
      <c r="I1080" s="7">
        <f t="shared" si="259"/>
        <v>1491.6954179999957</v>
      </c>
      <c r="J1080" s="7">
        <f t="shared" si="259"/>
        <v>3141879.2849209998</v>
      </c>
      <c r="K1080" s="7">
        <f t="shared" ref="K1080:K1091" si="260">J1080/G1080</f>
        <v>2729.2352852090958</v>
      </c>
      <c r="L1080" s="7">
        <f t="shared" ref="L1080:L1111" si="261">K1080/$K$1659</f>
        <v>0.80463172854292764</v>
      </c>
      <c r="M1080" s="7">
        <f>SUM(M1081:M1144)</f>
        <v>196279.59999999998</v>
      </c>
      <c r="N1080" s="7">
        <f>SUM(N1081:N1144)</f>
        <v>811229.7</v>
      </c>
    </row>
    <row r="1081" spans="1:14" ht="15.75" x14ac:dyDescent="0.25">
      <c r="A1081" s="38">
        <v>17</v>
      </c>
      <c r="B1081" s="34" t="s">
        <v>984</v>
      </c>
      <c r="C1081" s="18" t="s">
        <v>161</v>
      </c>
      <c r="D1081" s="32" t="s">
        <v>2247</v>
      </c>
      <c r="E1081" s="76">
        <v>6.93</v>
      </c>
      <c r="F1081" s="76">
        <v>4.0000000000000001E-3</v>
      </c>
      <c r="G1081" s="5">
        <f t="shared" ref="G1081:G1110" si="262">F1081+E1081</f>
        <v>6.9339999999999993</v>
      </c>
      <c r="H1081" s="5">
        <v>11646.712</v>
      </c>
      <c r="I1081" s="5"/>
      <c r="J1081" s="5">
        <f t="shared" ref="J1081:J1122" si="263">H1081+I1081</f>
        <v>11646.712</v>
      </c>
      <c r="K1081" s="5">
        <f t="shared" si="260"/>
        <v>1679.652725699452</v>
      </c>
      <c r="L1081" s="5">
        <f t="shared" si="261"/>
        <v>0.49519434376206484</v>
      </c>
      <c r="M1081" s="5">
        <f t="shared" ref="M1081:M1112" si="264">ROUND(IF(L1081&lt;110%,0,(K1081-$K$1659*1.1)*0.5)*G1081,1)</f>
        <v>0</v>
      </c>
      <c r="N1081" s="5">
        <f t="shared" ref="N1081:N1112" si="265">ROUND(IF(L1081&gt;90%,0,(-K1081+$K$1659*0.9)*0.8)*G1081,1)</f>
        <v>7616.7</v>
      </c>
    </row>
    <row r="1082" spans="1:14" ht="31.5" x14ac:dyDescent="0.25">
      <c r="A1082" s="38">
        <v>17</v>
      </c>
      <c r="B1082" s="34" t="s">
        <v>984</v>
      </c>
      <c r="C1082" s="18" t="s">
        <v>162</v>
      </c>
      <c r="D1082" s="32" t="s">
        <v>2248</v>
      </c>
      <c r="E1082" s="76">
        <v>4.1180000000000003</v>
      </c>
      <c r="F1082" s="76">
        <v>1E-3</v>
      </c>
      <c r="G1082" s="5">
        <f t="shared" si="262"/>
        <v>4.1190000000000007</v>
      </c>
      <c r="H1082" s="5">
        <v>4915.4459999999999</v>
      </c>
      <c r="I1082" s="5"/>
      <c r="J1082" s="5">
        <f t="shared" si="263"/>
        <v>4915.4459999999999</v>
      </c>
      <c r="K1082" s="5">
        <f t="shared" si="260"/>
        <v>1193.3590677348868</v>
      </c>
      <c r="L1082" s="5">
        <f t="shared" si="261"/>
        <v>0.351825500222614</v>
      </c>
      <c r="M1082" s="5">
        <f t="shared" si="264"/>
        <v>0</v>
      </c>
      <c r="N1082" s="5">
        <f t="shared" si="265"/>
        <v>6127</v>
      </c>
    </row>
    <row r="1083" spans="1:14" ht="31.5" x14ac:dyDescent="0.25">
      <c r="A1083" s="38">
        <v>17</v>
      </c>
      <c r="B1083" s="34" t="s">
        <v>985</v>
      </c>
      <c r="C1083" s="18" t="s">
        <v>163</v>
      </c>
      <c r="D1083" s="32" t="s">
        <v>2249</v>
      </c>
      <c r="E1083" s="76">
        <v>10.493</v>
      </c>
      <c r="F1083" s="76">
        <v>0.01</v>
      </c>
      <c r="G1083" s="5">
        <f t="shared" si="262"/>
        <v>10.503</v>
      </c>
      <c r="H1083" s="5">
        <v>34395.966999999997</v>
      </c>
      <c r="I1083" s="5"/>
      <c r="J1083" s="5">
        <f t="shared" si="263"/>
        <v>34395.966999999997</v>
      </c>
      <c r="K1083" s="5">
        <f t="shared" si="260"/>
        <v>3274.8707036084925</v>
      </c>
      <c r="L1083" s="5">
        <f t="shared" si="261"/>
        <v>0.9654956790569319</v>
      </c>
      <c r="M1083" s="5">
        <f t="shared" si="264"/>
        <v>0</v>
      </c>
      <c r="N1083" s="5">
        <f t="shared" si="265"/>
        <v>0</v>
      </c>
    </row>
    <row r="1084" spans="1:14" ht="15.75" x14ac:dyDescent="0.25">
      <c r="A1084" s="38">
        <v>17</v>
      </c>
      <c r="B1084" s="34" t="s">
        <v>984</v>
      </c>
      <c r="C1084" s="18" t="s">
        <v>164</v>
      </c>
      <c r="D1084" s="32" t="s">
        <v>2250</v>
      </c>
      <c r="E1084" s="76">
        <v>6.1639999999999997</v>
      </c>
      <c r="F1084" s="76">
        <v>7.0000000000000001E-3</v>
      </c>
      <c r="G1084" s="5">
        <f t="shared" si="262"/>
        <v>6.1709999999999994</v>
      </c>
      <c r="H1084" s="5">
        <v>7899.8440000000001</v>
      </c>
      <c r="I1084" s="5"/>
      <c r="J1084" s="5">
        <f t="shared" si="263"/>
        <v>7899.8440000000001</v>
      </c>
      <c r="K1084" s="5">
        <f t="shared" si="260"/>
        <v>1280.1562145519367</v>
      </c>
      <c r="L1084" s="5">
        <f t="shared" si="261"/>
        <v>0.3774149899432287</v>
      </c>
      <c r="M1084" s="5">
        <f t="shared" si="264"/>
        <v>0</v>
      </c>
      <c r="N1084" s="5">
        <f t="shared" si="265"/>
        <v>8750.7999999999993</v>
      </c>
    </row>
    <row r="1085" spans="1:14" ht="31.5" x14ac:dyDescent="0.25">
      <c r="A1085" s="38">
        <v>17</v>
      </c>
      <c r="B1085" s="34" t="s">
        <v>984</v>
      </c>
      <c r="C1085" s="18" t="s">
        <v>165</v>
      </c>
      <c r="D1085" s="32" t="s">
        <v>2251</v>
      </c>
      <c r="E1085" s="76">
        <v>1.8360000000000001</v>
      </c>
      <c r="F1085" s="76">
        <v>4.0000000000000001E-3</v>
      </c>
      <c r="G1085" s="5">
        <f t="shared" si="262"/>
        <v>1.84</v>
      </c>
      <c r="H1085" s="5">
        <v>4282.8950000000004</v>
      </c>
      <c r="I1085" s="5"/>
      <c r="J1085" s="5">
        <f t="shared" si="263"/>
        <v>4282.8950000000004</v>
      </c>
      <c r="K1085" s="5">
        <f t="shared" si="260"/>
        <v>2327.6603260869565</v>
      </c>
      <c r="L1085" s="5">
        <f t="shared" si="261"/>
        <v>0.68623960777227488</v>
      </c>
      <c r="M1085" s="5">
        <f t="shared" si="264"/>
        <v>0</v>
      </c>
      <c r="N1085" s="5">
        <f t="shared" si="265"/>
        <v>1067.3</v>
      </c>
    </row>
    <row r="1086" spans="1:14" ht="31.5" x14ac:dyDescent="0.25">
      <c r="A1086" s="38">
        <v>17</v>
      </c>
      <c r="B1086" s="34" t="s">
        <v>983</v>
      </c>
      <c r="C1086" s="18" t="s">
        <v>288</v>
      </c>
      <c r="D1086" s="32" t="s">
        <v>2252</v>
      </c>
      <c r="E1086" s="76">
        <v>18.663</v>
      </c>
      <c r="F1086" s="76">
        <v>0.02</v>
      </c>
      <c r="G1086" s="5">
        <f t="shared" si="262"/>
        <v>18.683</v>
      </c>
      <c r="H1086" s="5">
        <v>47781.633000000002</v>
      </c>
      <c r="I1086" s="5"/>
      <c r="J1086" s="5">
        <f t="shared" si="263"/>
        <v>47781.633000000002</v>
      </c>
      <c r="K1086" s="5">
        <f t="shared" si="260"/>
        <v>2557.4925333190604</v>
      </c>
      <c r="L1086" s="5">
        <f t="shared" si="261"/>
        <v>0.75399861967653281</v>
      </c>
      <c r="M1086" s="5">
        <f t="shared" si="264"/>
        <v>0</v>
      </c>
      <c r="N1086" s="5">
        <f t="shared" si="265"/>
        <v>7401.8</v>
      </c>
    </row>
    <row r="1087" spans="1:14" ht="15.75" x14ac:dyDescent="0.25">
      <c r="A1087" s="38">
        <v>17</v>
      </c>
      <c r="B1087" s="34" t="s">
        <v>984</v>
      </c>
      <c r="C1087" s="18" t="s">
        <v>289</v>
      </c>
      <c r="D1087" s="32" t="s">
        <v>2253</v>
      </c>
      <c r="E1087" s="76">
        <v>8.9670000000000005</v>
      </c>
      <c r="F1087" s="76">
        <v>2.4E-2</v>
      </c>
      <c r="G1087" s="5">
        <f t="shared" si="262"/>
        <v>8.9909999999999997</v>
      </c>
      <c r="H1087" s="5">
        <v>27251.012999999999</v>
      </c>
      <c r="I1087" s="5"/>
      <c r="J1087" s="5">
        <f t="shared" si="263"/>
        <v>27251.012999999999</v>
      </c>
      <c r="K1087" s="5">
        <f t="shared" si="260"/>
        <v>3030.9212545879213</v>
      </c>
      <c r="L1087" s="5">
        <f t="shared" si="261"/>
        <v>0.89357462926459841</v>
      </c>
      <c r="M1087" s="5">
        <f t="shared" si="264"/>
        <v>0</v>
      </c>
      <c r="N1087" s="5">
        <f t="shared" si="265"/>
        <v>156.80000000000001</v>
      </c>
    </row>
    <row r="1088" spans="1:14" s="13" customFormat="1" ht="31.5" x14ac:dyDescent="0.25">
      <c r="A1088" s="38">
        <v>17</v>
      </c>
      <c r="B1088" s="34" t="s">
        <v>984</v>
      </c>
      <c r="C1088" s="18" t="s">
        <v>290</v>
      </c>
      <c r="D1088" s="32" t="s">
        <v>2097</v>
      </c>
      <c r="E1088" s="76">
        <v>5.5279999999999996</v>
      </c>
      <c r="F1088" s="76">
        <v>1.2999999999999999E-2</v>
      </c>
      <c r="G1088" s="5">
        <f t="shared" si="262"/>
        <v>5.5409999999999995</v>
      </c>
      <c r="H1088" s="5">
        <v>7625.9340000000002</v>
      </c>
      <c r="I1088" s="5"/>
      <c r="J1088" s="5">
        <f t="shared" si="263"/>
        <v>7625.9340000000002</v>
      </c>
      <c r="K1088" s="5">
        <f t="shared" si="260"/>
        <v>1376.2739577693558</v>
      </c>
      <c r="L1088" s="5">
        <f t="shared" si="261"/>
        <v>0.4057523730511684</v>
      </c>
      <c r="M1088" s="5">
        <f t="shared" si="264"/>
        <v>0</v>
      </c>
      <c r="N1088" s="5">
        <f t="shared" si="265"/>
        <v>7431.3</v>
      </c>
    </row>
    <row r="1089" spans="1:14" s="13" customFormat="1" ht="31.5" x14ac:dyDescent="0.25">
      <c r="A1089" s="38">
        <v>17</v>
      </c>
      <c r="B1089" s="34" t="s">
        <v>984</v>
      </c>
      <c r="C1089" s="18" t="s">
        <v>294</v>
      </c>
      <c r="D1089" s="32" t="s">
        <v>2255</v>
      </c>
      <c r="E1089" s="76">
        <v>6.774</v>
      </c>
      <c r="F1089" s="76">
        <v>7.0000000000000001E-3</v>
      </c>
      <c r="G1089" s="5">
        <f t="shared" si="262"/>
        <v>6.7809999999999997</v>
      </c>
      <c r="H1089" s="5">
        <v>8524.27</v>
      </c>
      <c r="I1089" s="5"/>
      <c r="J1089" s="5">
        <f t="shared" si="263"/>
        <v>8524.27</v>
      </c>
      <c r="K1089" s="5">
        <f t="shared" si="260"/>
        <v>1257.0815513936</v>
      </c>
      <c r="L1089" s="5">
        <f t="shared" si="261"/>
        <v>0.37061212974159685</v>
      </c>
      <c r="M1089" s="5">
        <f t="shared" si="264"/>
        <v>0</v>
      </c>
      <c r="N1089" s="5">
        <f t="shared" si="265"/>
        <v>9741</v>
      </c>
    </row>
    <row r="1090" spans="1:14" s="13" customFormat="1" ht="15.75" x14ac:dyDescent="0.25">
      <c r="A1090" s="38">
        <v>17</v>
      </c>
      <c r="B1090" s="34" t="s">
        <v>984</v>
      </c>
      <c r="C1090" s="18" t="s">
        <v>295</v>
      </c>
      <c r="D1090" s="32" t="s">
        <v>2256</v>
      </c>
      <c r="E1090" s="76">
        <v>5.88</v>
      </c>
      <c r="F1090" s="76">
        <v>3.0000000000000001E-3</v>
      </c>
      <c r="G1090" s="5">
        <f t="shared" si="262"/>
        <v>5.883</v>
      </c>
      <c r="H1090" s="5">
        <v>5745.7629999999999</v>
      </c>
      <c r="I1090" s="5">
        <f>(364.7)*0.6</f>
        <v>218.82</v>
      </c>
      <c r="J1090" s="5">
        <f t="shared" si="263"/>
        <v>5964.5829999999996</v>
      </c>
      <c r="K1090" s="5">
        <f t="shared" si="260"/>
        <v>1013.8675845656977</v>
      </c>
      <c r="L1090" s="5">
        <f t="shared" si="261"/>
        <v>0.29890791442711395</v>
      </c>
      <c r="M1090" s="5">
        <f t="shared" si="264"/>
        <v>0</v>
      </c>
      <c r="N1090" s="5">
        <f t="shared" si="265"/>
        <v>9595.6</v>
      </c>
    </row>
    <row r="1091" spans="1:14" s="13" customFormat="1" ht="15.75" x14ac:dyDescent="0.25">
      <c r="A1091" s="38">
        <v>17</v>
      </c>
      <c r="B1091" s="34" t="s">
        <v>985</v>
      </c>
      <c r="C1091" s="18" t="s">
        <v>300</v>
      </c>
      <c r="D1091" s="32" t="s">
        <v>2257</v>
      </c>
      <c r="E1091" s="76">
        <v>7.4589999999999996</v>
      </c>
      <c r="F1091" s="76">
        <v>1.0999999999999999E-2</v>
      </c>
      <c r="G1091" s="5">
        <f t="shared" si="262"/>
        <v>7.47</v>
      </c>
      <c r="H1091" s="5">
        <v>21634.433000000001</v>
      </c>
      <c r="I1091" s="5"/>
      <c r="J1091" s="5">
        <f t="shared" si="263"/>
        <v>21634.433000000001</v>
      </c>
      <c r="K1091" s="5">
        <f t="shared" si="260"/>
        <v>2896.1757697456496</v>
      </c>
      <c r="L1091" s="5">
        <f t="shared" si="261"/>
        <v>0.85384903544365909</v>
      </c>
      <c r="M1091" s="5">
        <f t="shared" si="264"/>
        <v>0</v>
      </c>
      <c r="N1091" s="5">
        <f t="shared" si="265"/>
        <v>935.5</v>
      </c>
    </row>
    <row r="1092" spans="1:14" s="13" customFormat="1" ht="15.75" x14ac:dyDescent="0.25">
      <c r="A1092" s="38">
        <v>17</v>
      </c>
      <c r="B1092" s="34" t="s">
        <v>984</v>
      </c>
      <c r="C1092" s="18" t="s">
        <v>301</v>
      </c>
      <c r="D1092" s="32" t="s">
        <v>2258</v>
      </c>
      <c r="E1092" s="76">
        <v>5.694</v>
      </c>
      <c r="F1092" s="76">
        <v>1.2E-2</v>
      </c>
      <c r="G1092" s="5">
        <f t="shared" si="262"/>
        <v>5.7059999999999995</v>
      </c>
      <c r="H1092" s="5">
        <v>7665.8590000000004</v>
      </c>
      <c r="I1092" s="5"/>
      <c r="J1092" s="5">
        <f t="shared" si="263"/>
        <v>7665.8590000000004</v>
      </c>
      <c r="K1092" s="5">
        <f t="shared" ref="K1092:K1120" si="266">J1092/G1092</f>
        <v>1343.4733613739925</v>
      </c>
      <c r="L1092" s="5">
        <f t="shared" si="261"/>
        <v>0.39608211826666084</v>
      </c>
      <c r="M1092" s="5">
        <f t="shared" si="264"/>
        <v>0</v>
      </c>
      <c r="N1092" s="5">
        <f t="shared" si="265"/>
        <v>7802.3</v>
      </c>
    </row>
    <row r="1093" spans="1:14" s="13" customFormat="1" ht="15.75" x14ac:dyDescent="0.25">
      <c r="A1093" s="38">
        <v>17</v>
      </c>
      <c r="B1093" s="34" t="s">
        <v>984</v>
      </c>
      <c r="C1093" s="18" t="s">
        <v>302</v>
      </c>
      <c r="D1093" s="32" t="s">
        <v>2259</v>
      </c>
      <c r="E1093" s="76">
        <v>7.2549999999999999</v>
      </c>
      <c r="F1093" s="76">
        <v>1.4999999999999999E-2</v>
      </c>
      <c r="G1093" s="5">
        <f t="shared" si="262"/>
        <v>7.27</v>
      </c>
      <c r="H1093" s="5">
        <v>10889.786</v>
      </c>
      <c r="I1093" s="5"/>
      <c r="J1093" s="5">
        <f t="shared" si="263"/>
        <v>10889.786</v>
      </c>
      <c r="K1093" s="5">
        <f t="shared" si="266"/>
        <v>1497.9072902338378</v>
      </c>
      <c r="L1093" s="5">
        <f t="shared" si="261"/>
        <v>0.44161224892179513</v>
      </c>
      <c r="M1093" s="5">
        <f t="shared" si="264"/>
        <v>0</v>
      </c>
      <c r="N1093" s="5">
        <f t="shared" si="265"/>
        <v>9042.7999999999993</v>
      </c>
    </row>
    <row r="1094" spans="1:14" s="13" customFormat="1" ht="31.5" x14ac:dyDescent="0.25">
      <c r="A1094" s="38">
        <v>17</v>
      </c>
      <c r="B1094" s="34" t="s">
        <v>985</v>
      </c>
      <c r="C1094" s="18" t="s">
        <v>407</v>
      </c>
      <c r="D1094" s="32" t="s">
        <v>3078</v>
      </c>
      <c r="E1094" s="76">
        <v>19.713999999999999</v>
      </c>
      <c r="F1094" s="76">
        <v>3.5000000000000003E-2</v>
      </c>
      <c r="G1094" s="5">
        <f t="shared" si="262"/>
        <v>19.748999999999999</v>
      </c>
      <c r="H1094" s="5">
        <v>40283.923000000003</v>
      </c>
      <c r="I1094" s="5">
        <f>(950.3)*0.6</f>
        <v>570.17999999999995</v>
      </c>
      <c r="J1094" s="5">
        <f t="shared" si="263"/>
        <v>40854.103000000003</v>
      </c>
      <c r="K1094" s="5">
        <f t="shared" si="266"/>
        <v>2068.6669198440432</v>
      </c>
      <c r="L1094" s="5">
        <f t="shared" si="261"/>
        <v>0.60988330632921683</v>
      </c>
      <c r="M1094" s="5">
        <f t="shared" si="264"/>
        <v>0</v>
      </c>
      <c r="N1094" s="5">
        <f t="shared" si="265"/>
        <v>15547.2</v>
      </c>
    </row>
    <row r="1095" spans="1:14" s="13" customFormat="1" ht="31.5" x14ac:dyDescent="0.25">
      <c r="A1095" s="38">
        <v>17</v>
      </c>
      <c r="B1095" s="34" t="s">
        <v>984</v>
      </c>
      <c r="C1095" s="18" t="s">
        <v>408</v>
      </c>
      <c r="D1095" s="32" t="s">
        <v>2261</v>
      </c>
      <c r="E1095" s="76">
        <v>3.153</v>
      </c>
      <c r="F1095" s="76">
        <v>0</v>
      </c>
      <c r="G1095" s="5">
        <f t="shared" si="262"/>
        <v>3.153</v>
      </c>
      <c r="H1095" s="5">
        <v>3843.7890000000002</v>
      </c>
      <c r="I1095" s="5"/>
      <c r="J1095" s="5">
        <f t="shared" si="263"/>
        <v>3843.7890000000002</v>
      </c>
      <c r="K1095" s="5">
        <f t="shared" si="266"/>
        <v>1219.0894386298764</v>
      </c>
      <c r="L1095" s="5">
        <f t="shared" si="261"/>
        <v>0.35941131479913191</v>
      </c>
      <c r="M1095" s="5">
        <f t="shared" si="264"/>
        <v>0</v>
      </c>
      <c r="N1095" s="5">
        <f t="shared" si="265"/>
        <v>4625.1000000000004</v>
      </c>
    </row>
    <row r="1096" spans="1:14" s="13" customFormat="1" ht="31.5" x14ac:dyDescent="0.25">
      <c r="A1096" s="38">
        <v>17</v>
      </c>
      <c r="B1096" s="34" t="s">
        <v>984</v>
      </c>
      <c r="C1096" s="18" t="s">
        <v>409</v>
      </c>
      <c r="D1096" s="32" t="s">
        <v>2262</v>
      </c>
      <c r="E1096" s="76">
        <v>6.242</v>
      </c>
      <c r="F1096" s="76">
        <v>1E-3</v>
      </c>
      <c r="G1096" s="5">
        <f t="shared" si="262"/>
        <v>6.2430000000000003</v>
      </c>
      <c r="H1096" s="5">
        <v>5960.46</v>
      </c>
      <c r="I1096" s="5">
        <f>(55.6)*0.6</f>
        <v>33.36</v>
      </c>
      <c r="J1096" s="5">
        <f t="shared" si="263"/>
        <v>5993.82</v>
      </c>
      <c r="K1096" s="5">
        <f t="shared" si="266"/>
        <v>960.08649687650154</v>
      </c>
      <c r="L1096" s="5">
        <f t="shared" si="261"/>
        <v>0.28305220210183474</v>
      </c>
      <c r="M1096" s="5">
        <f t="shared" si="264"/>
        <v>0</v>
      </c>
      <c r="N1096" s="5">
        <f t="shared" si="265"/>
        <v>10451.4</v>
      </c>
    </row>
    <row r="1097" spans="1:14" s="13" customFormat="1" ht="31.5" x14ac:dyDescent="0.25">
      <c r="A1097" s="38">
        <v>17</v>
      </c>
      <c r="B1097" s="34" t="s">
        <v>984</v>
      </c>
      <c r="C1097" s="18" t="s">
        <v>410</v>
      </c>
      <c r="D1097" s="32" t="s">
        <v>2263</v>
      </c>
      <c r="E1097" s="76">
        <v>5.81</v>
      </c>
      <c r="F1097" s="76">
        <v>7.0000000000000001E-3</v>
      </c>
      <c r="G1097" s="5">
        <f t="shared" si="262"/>
        <v>5.8169999999999993</v>
      </c>
      <c r="H1097" s="5">
        <v>11778.629000000001</v>
      </c>
      <c r="I1097" s="5"/>
      <c r="J1097" s="5">
        <f t="shared" si="263"/>
        <v>11778.629000000001</v>
      </c>
      <c r="K1097" s="5">
        <f t="shared" si="266"/>
        <v>2024.8631597043154</v>
      </c>
      <c r="L1097" s="5">
        <f t="shared" si="261"/>
        <v>0.59696910452737084</v>
      </c>
      <c r="M1097" s="5">
        <f t="shared" si="264"/>
        <v>0</v>
      </c>
      <c r="N1097" s="5">
        <f t="shared" si="265"/>
        <v>4783.2</v>
      </c>
    </row>
    <row r="1098" spans="1:14" s="13" customFormat="1" ht="31.5" x14ac:dyDescent="0.25">
      <c r="A1098" s="38">
        <v>17</v>
      </c>
      <c r="B1098" s="34" t="s">
        <v>984</v>
      </c>
      <c r="C1098" s="18" t="s">
        <v>493</v>
      </c>
      <c r="D1098" s="32" t="s">
        <v>2264</v>
      </c>
      <c r="E1098" s="76">
        <v>5.45</v>
      </c>
      <c r="F1098" s="76">
        <v>1.9E-2</v>
      </c>
      <c r="G1098" s="5">
        <f t="shared" si="262"/>
        <v>5.4690000000000003</v>
      </c>
      <c r="H1098" s="5">
        <v>7100.8559999999998</v>
      </c>
      <c r="I1098" s="5"/>
      <c r="J1098" s="5">
        <f t="shared" si="263"/>
        <v>7100.8559999999998</v>
      </c>
      <c r="K1098" s="5">
        <f t="shared" si="266"/>
        <v>1298.3828853538123</v>
      </c>
      <c r="L1098" s="5">
        <f t="shared" si="261"/>
        <v>0.38278856755757956</v>
      </c>
      <c r="M1098" s="5">
        <f t="shared" si="264"/>
        <v>0</v>
      </c>
      <c r="N1098" s="5">
        <f t="shared" si="265"/>
        <v>7675.6</v>
      </c>
    </row>
    <row r="1099" spans="1:14" s="13" customFormat="1" ht="31.5" x14ac:dyDescent="0.25">
      <c r="A1099" s="38">
        <v>17</v>
      </c>
      <c r="B1099" s="34" t="s">
        <v>984</v>
      </c>
      <c r="C1099" s="18" t="s">
        <v>607</v>
      </c>
      <c r="D1099" s="32" t="s">
        <v>2265</v>
      </c>
      <c r="E1099" s="76">
        <v>7.9370000000000003</v>
      </c>
      <c r="F1099" s="76">
        <v>1.7000000000000001E-2</v>
      </c>
      <c r="G1099" s="5">
        <f t="shared" si="262"/>
        <v>7.9540000000000006</v>
      </c>
      <c r="H1099" s="5">
        <v>12435.482</v>
      </c>
      <c r="I1099" s="5"/>
      <c r="J1099" s="5">
        <f t="shared" si="263"/>
        <v>12435.482</v>
      </c>
      <c r="K1099" s="5">
        <f t="shared" si="266"/>
        <v>1563.4249434246919</v>
      </c>
      <c r="L1099" s="5">
        <f t="shared" si="261"/>
        <v>0.46092812938938704</v>
      </c>
      <c r="M1099" s="5">
        <f t="shared" si="264"/>
        <v>0</v>
      </c>
      <c r="N1099" s="5">
        <f t="shared" si="265"/>
        <v>9476.7000000000007</v>
      </c>
    </row>
    <row r="1100" spans="1:14" s="13" customFormat="1" ht="31.5" x14ac:dyDescent="0.25">
      <c r="A1100" s="38">
        <v>17</v>
      </c>
      <c r="B1100" s="34" t="s">
        <v>984</v>
      </c>
      <c r="C1100" s="18" t="s">
        <v>608</v>
      </c>
      <c r="D1100" s="32" t="s">
        <v>2266</v>
      </c>
      <c r="E1100" s="76">
        <v>2.702</v>
      </c>
      <c r="F1100" s="76">
        <v>2E-3</v>
      </c>
      <c r="G1100" s="5">
        <f t="shared" si="262"/>
        <v>2.7039999999999997</v>
      </c>
      <c r="H1100" s="5">
        <v>8109.5749999999998</v>
      </c>
      <c r="I1100" s="5"/>
      <c r="J1100" s="5">
        <f t="shared" si="263"/>
        <v>8109.5749999999998</v>
      </c>
      <c r="K1100" s="5">
        <f t="shared" si="266"/>
        <v>2999.103180473373</v>
      </c>
      <c r="L1100" s="5">
        <f t="shared" si="261"/>
        <v>0.88419404118835465</v>
      </c>
      <c r="M1100" s="5">
        <f t="shared" si="264"/>
        <v>0</v>
      </c>
      <c r="N1100" s="5">
        <f t="shared" si="265"/>
        <v>116</v>
      </c>
    </row>
    <row r="1101" spans="1:14" s="13" customFormat="1" ht="31.5" x14ac:dyDescent="0.25">
      <c r="A1101" s="38">
        <v>17</v>
      </c>
      <c r="B1101" s="34" t="s">
        <v>985</v>
      </c>
      <c r="C1101" s="18" t="s">
        <v>609</v>
      </c>
      <c r="D1101" s="32" t="s">
        <v>2267</v>
      </c>
      <c r="E1101" s="76">
        <v>13.744</v>
      </c>
      <c r="F1101" s="76">
        <v>2.8000000000000001E-2</v>
      </c>
      <c r="G1101" s="5">
        <f t="shared" si="262"/>
        <v>13.772</v>
      </c>
      <c r="H1101" s="5">
        <v>73572.479000000007</v>
      </c>
      <c r="I1101" s="5"/>
      <c r="J1101" s="5">
        <f t="shared" si="263"/>
        <v>73572.479000000007</v>
      </c>
      <c r="K1101" s="5">
        <f t="shared" si="266"/>
        <v>5342.1782602381645</v>
      </c>
      <c r="L1101" s="5">
        <f t="shared" si="261"/>
        <v>1.5749782186296786</v>
      </c>
      <c r="M1101" s="5">
        <f t="shared" si="264"/>
        <v>11093.9</v>
      </c>
      <c r="N1101" s="5">
        <f t="shared" si="265"/>
        <v>0</v>
      </c>
    </row>
    <row r="1102" spans="1:14" s="13" customFormat="1" ht="31.5" x14ac:dyDescent="0.25">
      <c r="A1102" s="38">
        <v>17</v>
      </c>
      <c r="B1102" s="34" t="s">
        <v>984</v>
      </c>
      <c r="C1102" s="18" t="s">
        <v>610</v>
      </c>
      <c r="D1102" s="32" t="s">
        <v>2268</v>
      </c>
      <c r="E1102" s="76">
        <v>11.256</v>
      </c>
      <c r="F1102" s="76">
        <v>8.9999999999999993E-3</v>
      </c>
      <c r="G1102" s="5">
        <f t="shared" si="262"/>
        <v>11.265000000000001</v>
      </c>
      <c r="H1102" s="5">
        <v>14045.550999999999</v>
      </c>
      <c r="I1102" s="5"/>
      <c r="J1102" s="5">
        <f t="shared" si="263"/>
        <v>14045.550999999999</v>
      </c>
      <c r="K1102" s="5">
        <f t="shared" si="266"/>
        <v>1246.8309809143364</v>
      </c>
      <c r="L1102" s="5">
        <f t="shared" si="261"/>
        <v>0.36759006187959165</v>
      </c>
      <c r="M1102" s="5">
        <f t="shared" si="264"/>
        <v>0</v>
      </c>
      <c r="N1102" s="5">
        <f t="shared" si="265"/>
        <v>16274.6</v>
      </c>
    </row>
    <row r="1103" spans="1:14" s="13" customFormat="1" ht="31.5" x14ac:dyDescent="0.25">
      <c r="A1103" s="38">
        <v>17</v>
      </c>
      <c r="B1103" s="34" t="s">
        <v>985</v>
      </c>
      <c r="C1103" s="18" t="s">
        <v>611</v>
      </c>
      <c r="D1103" s="67" t="s">
        <v>2269</v>
      </c>
      <c r="E1103" s="76">
        <v>11.997</v>
      </c>
      <c r="F1103" s="76">
        <v>1.4999999999999999E-2</v>
      </c>
      <c r="G1103" s="5">
        <f t="shared" si="262"/>
        <v>12.012</v>
      </c>
      <c r="H1103" s="5">
        <v>23362.793000000001</v>
      </c>
      <c r="I1103" s="5"/>
      <c r="J1103" s="5">
        <f t="shared" si="263"/>
        <v>23362.793000000001</v>
      </c>
      <c r="K1103" s="5">
        <f t="shared" si="266"/>
        <v>1944.9544622044623</v>
      </c>
      <c r="L1103" s="5">
        <f t="shared" si="261"/>
        <v>0.57341046385488126</v>
      </c>
      <c r="M1103" s="5">
        <f t="shared" si="264"/>
        <v>0</v>
      </c>
      <c r="N1103" s="5">
        <f t="shared" si="265"/>
        <v>10645.1</v>
      </c>
    </row>
    <row r="1104" spans="1:14" s="13" customFormat="1" ht="31.5" x14ac:dyDescent="0.25">
      <c r="A1104" s="38">
        <v>17</v>
      </c>
      <c r="B1104" s="34" t="s">
        <v>984</v>
      </c>
      <c r="C1104" s="18" t="s">
        <v>714</v>
      </c>
      <c r="D1104" s="67" t="s">
        <v>2270</v>
      </c>
      <c r="E1104" s="76">
        <v>5.649</v>
      </c>
      <c r="F1104" s="76">
        <v>1E-3</v>
      </c>
      <c r="G1104" s="5">
        <f t="shared" si="262"/>
        <v>5.65</v>
      </c>
      <c r="H1104" s="5">
        <v>12657.663</v>
      </c>
      <c r="I1104" s="5"/>
      <c r="J1104" s="5">
        <f t="shared" si="263"/>
        <v>12657.663</v>
      </c>
      <c r="K1104" s="5">
        <f t="shared" si="266"/>
        <v>2240.2943362831857</v>
      </c>
      <c r="L1104" s="5">
        <f t="shared" si="261"/>
        <v>0.66048241205791336</v>
      </c>
      <c r="M1104" s="5">
        <f t="shared" si="264"/>
        <v>0</v>
      </c>
      <c r="N1104" s="5">
        <f t="shared" si="265"/>
        <v>3672.1</v>
      </c>
    </row>
    <row r="1105" spans="1:14" s="13" customFormat="1" ht="31.5" x14ac:dyDescent="0.25">
      <c r="A1105" s="38">
        <v>17</v>
      </c>
      <c r="B1105" s="34" t="s">
        <v>984</v>
      </c>
      <c r="C1105" s="18">
        <v>17526000000</v>
      </c>
      <c r="D1105" s="67" t="s">
        <v>2271</v>
      </c>
      <c r="E1105" s="76">
        <v>9.7989999999999995</v>
      </c>
      <c r="F1105" s="76">
        <v>0.02</v>
      </c>
      <c r="G1105" s="5">
        <f t="shared" si="262"/>
        <v>9.8189999999999991</v>
      </c>
      <c r="H1105" s="5">
        <v>18292.618999999999</v>
      </c>
      <c r="I1105" s="5">
        <f>(32.8+60.5)*0.6</f>
        <v>55.98</v>
      </c>
      <c r="J1105" s="5">
        <f t="shared" si="263"/>
        <v>18348.598999999998</v>
      </c>
      <c r="K1105" s="5">
        <f t="shared" si="266"/>
        <v>1868.6830634484163</v>
      </c>
      <c r="L1105" s="5">
        <f t="shared" si="261"/>
        <v>0.5509241697079249</v>
      </c>
      <c r="M1105" s="5">
        <f t="shared" si="264"/>
        <v>0</v>
      </c>
      <c r="N1105" s="5">
        <f t="shared" si="265"/>
        <v>9300.7999999999993</v>
      </c>
    </row>
    <row r="1106" spans="1:14" s="13" customFormat="1" ht="31.5" x14ac:dyDescent="0.25">
      <c r="A1106" s="38">
        <v>17</v>
      </c>
      <c r="B1106" s="34" t="s">
        <v>984</v>
      </c>
      <c r="C1106" s="18">
        <v>17527000000</v>
      </c>
      <c r="D1106" s="67" t="s">
        <v>2272</v>
      </c>
      <c r="E1106" s="76">
        <v>10.558</v>
      </c>
      <c r="F1106" s="76">
        <v>8.9999999999999993E-3</v>
      </c>
      <c r="G1106" s="5">
        <f t="shared" si="262"/>
        <v>10.567</v>
      </c>
      <c r="H1106" s="5">
        <v>14751.967000000001</v>
      </c>
      <c r="I1106" s="5">
        <f>(41.9+44.3+797.7)*0.6</f>
        <v>530.34</v>
      </c>
      <c r="J1106" s="5">
        <f t="shared" si="263"/>
        <v>15282.307000000001</v>
      </c>
      <c r="K1106" s="5">
        <f t="shared" si="266"/>
        <v>1446.2294880287689</v>
      </c>
      <c r="L1106" s="5">
        <f t="shared" si="261"/>
        <v>0.42637662612997768</v>
      </c>
      <c r="M1106" s="5">
        <f t="shared" si="264"/>
        <v>0</v>
      </c>
      <c r="N1106" s="5">
        <f t="shared" si="265"/>
        <v>13580.6</v>
      </c>
    </row>
    <row r="1107" spans="1:14" s="13" customFormat="1" ht="31.5" x14ac:dyDescent="0.25">
      <c r="A1107" s="38">
        <v>17</v>
      </c>
      <c r="B1107" s="34" t="s">
        <v>984</v>
      </c>
      <c r="C1107" s="18">
        <v>17528000000</v>
      </c>
      <c r="D1107" s="67" t="s">
        <v>2273</v>
      </c>
      <c r="E1107" s="76">
        <v>2.8530000000000002</v>
      </c>
      <c r="F1107" s="76">
        <v>2E-3</v>
      </c>
      <c r="G1107" s="5">
        <f t="shared" si="262"/>
        <v>2.855</v>
      </c>
      <c r="H1107" s="5">
        <v>3170.806</v>
      </c>
      <c r="I1107" s="5"/>
      <c r="J1107" s="5">
        <f t="shared" si="263"/>
        <v>3170.806</v>
      </c>
      <c r="K1107" s="5">
        <f t="shared" si="266"/>
        <v>1110.6150612959721</v>
      </c>
      <c r="L1107" s="5">
        <f t="shared" si="261"/>
        <v>0.32743095524207366</v>
      </c>
      <c r="M1107" s="5">
        <f t="shared" si="264"/>
        <v>0</v>
      </c>
      <c r="N1107" s="5">
        <f t="shared" si="265"/>
        <v>4435.8</v>
      </c>
    </row>
    <row r="1108" spans="1:14" s="13" customFormat="1" ht="31.5" x14ac:dyDescent="0.25">
      <c r="A1108" s="38">
        <v>17</v>
      </c>
      <c r="B1108" s="34" t="s">
        <v>984</v>
      </c>
      <c r="C1108" s="18">
        <v>17529000000</v>
      </c>
      <c r="D1108" s="67" t="s">
        <v>2274</v>
      </c>
      <c r="E1108" s="76">
        <v>5.8019999999999996</v>
      </c>
      <c r="F1108" s="76">
        <v>0.01</v>
      </c>
      <c r="G1108" s="5">
        <f t="shared" si="262"/>
        <v>5.8119999999999994</v>
      </c>
      <c r="H1108" s="5">
        <v>11732.369000000001</v>
      </c>
      <c r="I1108" s="5">
        <f>(12.9)*0.6</f>
        <v>7.74</v>
      </c>
      <c r="J1108" s="5">
        <f t="shared" si="263"/>
        <v>11740.109</v>
      </c>
      <c r="K1108" s="5">
        <f t="shared" si="266"/>
        <v>2019.9774604267036</v>
      </c>
      <c r="L1108" s="5">
        <f t="shared" si="261"/>
        <v>0.59552870520519063</v>
      </c>
      <c r="M1108" s="5">
        <f t="shared" si="264"/>
        <v>0</v>
      </c>
      <c r="N1108" s="5">
        <f t="shared" si="265"/>
        <v>4801.8</v>
      </c>
    </row>
    <row r="1109" spans="1:14" s="13" customFormat="1" ht="31.5" x14ac:dyDescent="0.25">
      <c r="A1109" s="38">
        <v>17</v>
      </c>
      <c r="B1109" s="34" t="s">
        <v>984</v>
      </c>
      <c r="C1109" s="18">
        <v>17530000000</v>
      </c>
      <c r="D1109" s="67" t="s">
        <v>2275</v>
      </c>
      <c r="E1109" s="76">
        <v>7.4390000000000001</v>
      </c>
      <c r="F1109" s="76">
        <v>1.4E-2</v>
      </c>
      <c r="G1109" s="5">
        <f t="shared" si="262"/>
        <v>7.4530000000000003</v>
      </c>
      <c r="H1109" s="5">
        <v>8952.4259999999995</v>
      </c>
      <c r="I1109" s="5">
        <f>(618.5+17.4+190.8+632.8)*0.6</f>
        <v>875.69999999999993</v>
      </c>
      <c r="J1109" s="5">
        <f t="shared" si="263"/>
        <v>9828.1260000000002</v>
      </c>
      <c r="K1109" s="5">
        <f t="shared" si="266"/>
        <v>1318.6805313296659</v>
      </c>
      <c r="L1109" s="5">
        <f t="shared" si="261"/>
        <v>0.38877270899654393</v>
      </c>
      <c r="M1109" s="5">
        <f t="shared" si="264"/>
        <v>0</v>
      </c>
      <c r="N1109" s="5">
        <f t="shared" si="265"/>
        <v>10339</v>
      </c>
    </row>
    <row r="1110" spans="1:14" s="13" customFormat="1" ht="31.5" x14ac:dyDescent="0.25">
      <c r="A1110" s="38">
        <v>17</v>
      </c>
      <c r="B1110" s="34" t="s">
        <v>984</v>
      </c>
      <c r="C1110" s="18">
        <v>17531000000</v>
      </c>
      <c r="D1110" s="67" t="s">
        <v>2276</v>
      </c>
      <c r="E1110" s="76">
        <v>6.952</v>
      </c>
      <c r="F1110" s="76">
        <v>5.0000000000000001E-3</v>
      </c>
      <c r="G1110" s="5">
        <f t="shared" si="262"/>
        <v>6.9569999999999999</v>
      </c>
      <c r="H1110" s="5">
        <v>6290.4250000000002</v>
      </c>
      <c r="I1110" s="5"/>
      <c r="J1110" s="5">
        <f t="shared" si="263"/>
        <v>6290.4250000000002</v>
      </c>
      <c r="K1110" s="5">
        <f t="shared" si="266"/>
        <v>904.18643093287346</v>
      </c>
      <c r="L1110" s="5">
        <f t="shared" si="261"/>
        <v>0.26657177370870738</v>
      </c>
      <c r="M1110" s="5">
        <f t="shared" si="264"/>
        <v>0</v>
      </c>
      <c r="N1110" s="5">
        <f t="shared" si="265"/>
        <v>11957.9</v>
      </c>
    </row>
    <row r="1111" spans="1:14" s="13" customFormat="1" ht="15.75" x14ac:dyDescent="0.25">
      <c r="A1111" s="38">
        <v>17</v>
      </c>
      <c r="B1111" s="34" t="s">
        <v>986</v>
      </c>
      <c r="C1111" s="18">
        <v>17532000000</v>
      </c>
      <c r="D1111" s="32" t="s">
        <v>3079</v>
      </c>
      <c r="E1111" s="76">
        <v>52.915999999999997</v>
      </c>
      <c r="F1111" s="76">
        <v>2.5000000000000001E-2</v>
      </c>
      <c r="G1111" s="5">
        <f>F1111+E1111</f>
        <v>52.940999999999995</v>
      </c>
      <c r="H1111" s="5">
        <v>437400.23200000002</v>
      </c>
      <c r="I1111" s="5">
        <f>(47.9)*0.6</f>
        <v>28.74</v>
      </c>
      <c r="J1111" s="5">
        <f t="shared" si="263"/>
        <v>437428.97200000001</v>
      </c>
      <c r="K1111" s="5">
        <f t="shared" si="266"/>
        <v>8262.5747908048597</v>
      </c>
      <c r="L1111" s="5">
        <f t="shared" si="261"/>
        <v>2.4359680061923217</v>
      </c>
      <c r="M1111" s="5">
        <f t="shared" si="264"/>
        <v>119950.5</v>
      </c>
      <c r="N1111" s="5">
        <f t="shared" si="265"/>
        <v>0</v>
      </c>
    </row>
    <row r="1112" spans="1:14" s="13" customFormat="1" ht="15.75" x14ac:dyDescent="0.25">
      <c r="A1112" s="38">
        <v>17</v>
      </c>
      <c r="B1112" s="34" t="s">
        <v>986</v>
      </c>
      <c r="C1112" s="18">
        <v>17534000000</v>
      </c>
      <c r="D1112" s="32" t="s">
        <v>3080</v>
      </c>
      <c r="E1112" s="76">
        <v>42.677999999999997</v>
      </c>
      <c r="F1112" s="76">
        <v>0.09</v>
      </c>
      <c r="G1112" s="5">
        <f>F1112+E1112</f>
        <v>42.768000000000001</v>
      </c>
      <c r="H1112" s="5">
        <v>67652.322</v>
      </c>
      <c r="I1112" s="5">
        <f>(16.8-113.3)*0.6</f>
        <v>-57.9</v>
      </c>
      <c r="J1112" s="5">
        <f t="shared" si="263"/>
        <v>67594.422000000006</v>
      </c>
      <c r="K1112" s="5">
        <f t="shared" si="266"/>
        <v>1580.4906004489339</v>
      </c>
      <c r="L1112" s="5">
        <f t="shared" ref="L1112:L1143" si="267">K1112/$K$1659</f>
        <v>0.46595941752513481</v>
      </c>
      <c r="M1112" s="5">
        <f t="shared" si="264"/>
        <v>0</v>
      </c>
      <c r="N1112" s="5">
        <f t="shared" si="265"/>
        <v>50371.3</v>
      </c>
    </row>
    <row r="1113" spans="1:14" s="13" customFormat="1" ht="31.5" x14ac:dyDescent="0.25">
      <c r="A1113" s="38">
        <v>17</v>
      </c>
      <c r="B1113" s="34" t="s">
        <v>985</v>
      </c>
      <c r="C1113" s="18">
        <v>17535000000</v>
      </c>
      <c r="D1113" s="32" t="s">
        <v>3081</v>
      </c>
      <c r="E1113" s="76">
        <v>7.1040000000000001</v>
      </c>
      <c r="F1113" s="76">
        <v>5.0000000000000001E-3</v>
      </c>
      <c r="G1113" s="5">
        <f>F1113+E1113</f>
        <v>7.109</v>
      </c>
      <c r="H1113" s="5">
        <v>6349.7219999999998</v>
      </c>
      <c r="I1113" s="5"/>
      <c r="J1113" s="5">
        <f t="shared" si="263"/>
        <v>6349.7219999999998</v>
      </c>
      <c r="K1113" s="5">
        <f t="shared" si="266"/>
        <v>893.19482346321558</v>
      </c>
      <c r="L1113" s="5">
        <f t="shared" si="267"/>
        <v>0.2633312337062727</v>
      </c>
      <c r="M1113" s="5">
        <f t="shared" ref="M1113:M1144" si="268">ROUND(IF(L1113&lt;110%,0,(K1113-$K$1659*1.1)*0.5)*G1113,1)</f>
        <v>0</v>
      </c>
      <c r="N1113" s="5">
        <f t="shared" ref="N1113:N1144" si="269">ROUND(IF(L1113&gt;90%,0,(-K1113+$K$1659*0.9)*0.8)*G1113,1)</f>
        <v>12281.6</v>
      </c>
    </row>
    <row r="1114" spans="1:14" s="12" customFormat="1" ht="15.75" x14ac:dyDescent="0.25">
      <c r="A1114" s="38">
        <v>17</v>
      </c>
      <c r="B1114" s="34" t="s">
        <v>984</v>
      </c>
      <c r="C1114" s="18">
        <v>17536000000</v>
      </c>
      <c r="D1114" s="32" t="s">
        <v>3082</v>
      </c>
      <c r="E1114" s="76">
        <v>5.6150000000000002</v>
      </c>
      <c r="F1114" s="76">
        <v>1.4E-2</v>
      </c>
      <c r="G1114" s="5">
        <f>F1114+E1114</f>
        <v>5.6290000000000004</v>
      </c>
      <c r="H1114" s="5">
        <v>6417.7969999999996</v>
      </c>
      <c r="I1114" s="5"/>
      <c r="J1114" s="5">
        <f t="shared" si="263"/>
        <v>6417.7969999999996</v>
      </c>
      <c r="K1114" s="5">
        <f t="shared" si="266"/>
        <v>1140.1309291170721</v>
      </c>
      <c r="L1114" s="5">
        <f t="shared" si="267"/>
        <v>0.3361328080552205</v>
      </c>
      <c r="M1114" s="5">
        <f t="shared" si="268"/>
        <v>0</v>
      </c>
      <c r="N1114" s="5">
        <f t="shared" si="269"/>
        <v>8612.7999999999993</v>
      </c>
    </row>
    <row r="1115" spans="1:14" ht="31.5" x14ac:dyDescent="0.25">
      <c r="A1115" s="38">
        <v>17</v>
      </c>
      <c r="B1115" s="34" t="s">
        <v>984</v>
      </c>
      <c r="C1115" s="18">
        <v>17537000000</v>
      </c>
      <c r="D1115" s="32" t="s">
        <v>3083</v>
      </c>
      <c r="E1115" s="76">
        <v>5.6989999999999998</v>
      </c>
      <c r="F1115" s="76">
        <v>2E-3</v>
      </c>
      <c r="G1115" s="5">
        <f t="shared" ref="G1115:G1124" si="270">F1115+E1115</f>
        <v>5.7009999999999996</v>
      </c>
      <c r="H1115" s="5">
        <v>4363.7150000000001</v>
      </c>
      <c r="I1115" s="5"/>
      <c r="J1115" s="5">
        <f t="shared" si="263"/>
        <v>4363.7150000000001</v>
      </c>
      <c r="K1115" s="5">
        <f t="shared" si="266"/>
        <v>765.42974916681294</v>
      </c>
      <c r="L1115" s="5">
        <f t="shared" si="267"/>
        <v>0.22566360089510823</v>
      </c>
      <c r="M1115" s="5">
        <f t="shared" si="268"/>
        <v>0</v>
      </c>
      <c r="N1115" s="5">
        <f t="shared" si="269"/>
        <v>10431.9</v>
      </c>
    </row>
    <row r="1116" spans="1:14" ht="31.5" x14ac:dyDescent="0.25">
      <c r="A1116" s="38">
        <v>17</v>
      </c>
      <c r="B1116" s="34" t="s">
        <v>984</v>
      </c>
      <c r="C1116" s="18">
        <v>17538000000</v>
      </c>
      <c r="D1116" s="32" t="s">
        <v>3084</v>
      </c>
      <c r="E1116" s="76">
        <v>3.7360000000000002</v>
      </c>
      <c r="F1116" s="76">
        <v>3.0000000000000001E-3</v>
      </c>
      <c r="G1116" s="5">
        <f t="shared" si="270"/>
        <v>3.7390000000000003</v>
      </c>
      <c r="H1116" s="5">
        <v>12086.721000000001</v>
      </c>
      <c r="I1116" s="5">
        <f>(25.1+33.7+24.2-797.7-632.8-2078.8)*0.6</f>
        <v>-2055.7800000000002</v>
      </c>
      <c r="J1116" s="5">
        <f t="shared" si="263"/>
        <v>10030.941000000001</v>
      </c>
      <c r="K1116" s="5">
        <f t="shared" si="266"/>
        <v>2682.7871088526344</v>
      </c>
      <c r="L1116" s="5">
        <f t="shared" si="267"/>
        <v>0.79093790132623065</v>
      </c>
      <c r="M1116" s="5">
        <f t="shared" si="268"/>
        <v>0</v>
      </c>
      <c r="N1116" s="5">
        <f t="shared" si="269"/>
        <v>1106.5</v>
      </c>
    </row>
    <row r="1117" spans="1:14" ht="15.75" x14ac:dyDescent="0.25">
      <c r="A1117" s="38">
        <v>17</v>
      </c>
      <c r="B1117" s="34" t="s">
        <v>984</v>
      </c>
      <c r="C1117" s="18">
        <v>17539000000</v>
      </c>
      <c r="D1117" s="32" t="s">
        <v>3085</v>
      </c>
      <c r="E1117" s="76">
        <v>12.856999999999999</v>
      </c>
      <c r="F1117" s="76">
        <v>2E-3</v>
      </c>
      <c r="G1117" s="5">
        <f t="shared" si="270"/>
        <v>12.859</v>
      </c>
      <c r="H1117" s="5">
        <v>19407.775000000001</v>
      </c>
      <c r="I1117" s="5"/>
      <c r="J1117" s="5">
        <f t="shared" si="263"/>
        <v>19407.775000000001</v>
      </c>
      <c r="K1117" s="5">
        <f t="shared" si="266"/>
        <v>1509.2756046348861</v>
      </c>
      <c r="L1117" s="5">
        <f t="shared" si="267"/>
        <v>0.44496384946598722</v>
      </c>
      <c r="M1117" s="5">
        <f t="shared" si="268"/>
        <v>0</v>
      </c>
      <c r="N1117" s="5">
        <f t="shared" si="269"/>
        <v>15877.7</v>
      </c>
    </row>
    <row r="1118" spans="1:14" ht="31.5" x14ac:dyDescent="0.25">
      <c r="A1118" s="38">
        <v>17</v>
      </c>
      <c r="B1118" s="34" t="s">
        <v>984</v>
      </c>
      <c r="C1118" s="18">
        <v>17540000000</v>
      </c>
      <c r="D1118" s="32" t="s">
        <v>3086</v>
      </c>
      <c r="E1118" s="76">
        <v>7.1139999999999999</v>
      </c>
      <c r="F1118" s="76">
        <v>2E-3</v>
      </c>
      <c r="G1118" s="5">
        <f t="shared" si="270"/>
        <v>7.1159999999999997</v>
      </c>
      <c r="H1118" s="5">
        <v>8689.2209999999995</v>
      </c>
      <c r="I1118" s="5"/>
      <c r="J1118" s="5">
        <f t="shared" si="263"/>
        <v>8689.2209999999995</v>
      </c>
      <c r="K1118" s="5">
        <f t="shared" si="266"/>
        <v>1221.0822091062394</v>
      </c>
      <c r="L1118" s="5">
        <f t="shared" si="267"/>
        <v>0.35999882235543346</v>
      </c>
      <c r="M1118" s="5">
        <f t="shared" si="268"/>
        <v>0</v>
      </c>
      <c r="N1118" s="5">
        <f t="shared" si="269"/>
        <v>10427.1</v>
      </c>
    </row>
    <row r="1119" spans="1:14" ht="31.5" x14ac:dyDescent="0.25">
      <c r="A1119" s="38">
        <v>17</v>
      </c>
      <c r="B1119" s="34" t="s">
        <v>984</v>
      </c>
      <c r="C1119" s="18">
        <v>17541000000</v>
      </c>
      <c r="D1119" s="32" t="s">
        <v>3087</v>
      </c>
      <c r="E1119" s="76">
        <v>6.19</v>
      </c>
      <c r="F1119" s="76">
        <v>0</v>
      </c>
      <c r="G1119" s="5">
        <f t="shared" si="270"/>
        <v>6.19</v>
      </c>
      <c r="H1119" s="5">
        <v>4274.45</v>
      </c>
      <c r="I1119" s="5"/>
      <c r="J1119" s="5">
        <f t="shared" si="263"/>
        <v>4274.45</v>
      </c>
      <c r="K1119" s="5">
        <f t="shared" si="266"/>
        <v>690.54119547657501</v>
      </c>
      <c r="L1119" s="5">
        <f t="shared" si="267"/>
        <v>0.20358499641186029</v>
      </c>
      <c r="M1119" s="5">
        <f t="shared" si="268"/>
        <v>0</v>
      </c>
      <c r="N1119" s="5">
        <f t="shared" si="269"/>
        <v>11697.5</v>
      </c>
    </row>
    <row r="1120" spans="1:14" ht="15.75" x14ac:dyDescent="0.25">
      <c r="A1120" s="38">
        <v>17</v>
      </c>
      <c r="B1120" s="34" t="s">
        <v>984</v>
      </c>
      <c r="C1120" s="18">
        <v>17543000000</v>
      </c>
      <c r="D1120" s="32" t="s">
        <v>3088</v>
      </c>
      <c r="E1120" s="76">
        <v>5.6740000000000004</v>
      </c>
      <c r="F1120" s="76">
        <v>4.0000000000000001E-3</v>
      </c>
      <c r="G1120" s="5">
        <f t="shared" si="270"/>
        <v>5.6779999999999999</v>
      </c>
      <c r="H1120" s="5">
        <v>9125.0400000000009</v>
      </c>
      <c r="I1120" s="5"/>
      <c r="J1120" s="5">
        <f t="shared" si="263"/>
        <v>9125.0400000000009</v>
      </c>
      <c r="K1120" s="5">
        <f t="shared" si="266"/>
        <v>1607.0870024656572</v>
      </c>
      <c r="L1120" s="5">
        <f t="shared" si="267"/>
        <v>0.47380055494693063</v>
      </c>
      <c r="M1120" s="5">
        <f t="shared" si="268"/>
        <v>0</v>
      </c>
      <c r="N1120" s="5">
        <f t="shared" si="269"/>
        <v>6566.6</v>
      </c>
    </row>
    <row r="1121" spans="1:14" ht="31.5" x14ac:dyDescent="0.25">
      <c r="A1121" s="38">
        <v>17</v>
      </c>
      <c r="B1121" s="34" t="s">
        <v>985</v>
      </c>
      <c r="C1121" s="18">
        <v>17544000000</v>
      </c>
      <c r="D1121" s="67" t="s">
        <v>3089</v>
      </c>
      <c r="E1121" s="76">
        <v>7.2560000000000002</v>
      </c>
      <c r="F1121" s="76">
        <v>4.0000000000000001E-3</v>
      </c>
      <c r="G1121" s="5">
        <f t="shared" si="270"/>
        <v>7.26</v>
      </c>
      <c r="H1121" s="5">
        <v>7363.6159999999991</v>
      </c>
      <c r="I1121" s="5"/>
      <c r="J1121" s="5">
        <f t="shared" si="263"/>
        <v>7363.6159999999991</v>
      </c>
      <c r="K1121" s="5">
        <f t="shared" ref="K1121:K1145" si="271">J1121/G1121</f>
        <v>1014.2721763085399</v>
      </c>
      <c r="L1121" s="5">
        <f t="shared" si="267"/>
        <v>0.29902719595449323</v>
      </c>
      <c r="M1121" s="5">
        <f t="shared" si="268"/>
        <v>0</v>
      </c>
      <c r="N1121" s="5">
        <f t="shared" si="269"/>
        <v>11839.3</v>
      </c>
    </row>
    <row r="1122" spans="1:14" ht="31.5" x14ac:dyDescent="0.25">
      <c r="A1122" s="38">
        <v>17</v>
      </c>
      <c r="B1122" s="34" t="s">
        <v>984</v>
      </c>
      <c r="C1122" s="18">
        <v>17545000000</v>
      </c>
      <c r="D1122" s="32" t="s">
        <v>3090</v>
      </c>
      <c r="E1122" s="76">
        <v>4.4539999999999997</v>
      </c>
      <c r="F1122" s="76">
        <v>2.1999999999999999E-2</v>
      </c>
      <c r="G1122" s="5">
        <f t="shared" si="270"/>
        <v>4.476</v>
      </c>
      <c r="H1122" s="5">
        <v>8591.4449999999997</v>
      </c>
      <c r="I1122" s="5"/>
      <c r="J1122" s="5">
        <f t="shared" si="263"/>
        <v>8591.4449999999997</v>
      </c>
      <c r="K1122" s="5">
        <f t="shared" si="271"/>
        <v>1919.4470509383377</v>
      </c>
      <c r="L1122" s="5">
        <f t="shared" si="267"/>
        <v>0.56589038212028475</v>
      </c>
      <c r="M1122" s="5">
        <f t="shared" si="268"/>
        <v>0</v>
      </c>
      <c r="N1122" s="5">
        <f t="shared" si="269"/>
        <v>4058</v>
      </c>
    </row>
    <row r="1123" spans="1:14" ht="31.5" x14ac:dyDescent="0.25">
      <c r="A1123" s="38">
        <v>17</v>
      </c>
      <c r="B1123" s="34" t="s">
        <v>984</v>
      </c>
      <c r="C1123" s="18">
        <v>17546000000</v>
      </c>
      <c r="D1123" s="67" t="s">
        <v>1461</v>
      </c>
      <c r="E1123" s="86">
        <v>12.022</v>
      </c>
      <c r="F1123" s="86">
        <v>4.0000000000000001E-3</v>
      </c>
      <c r="G1123" s="86">
        <f>F1123+E1123</f>
        <v>12.026</v>
      </c>
      <c r="H1123" s="86">
        <v>8909.268</v>
      </c>
      <c r="I1123" s="86"/>
      <c r="J1123" s="5">
        <f t="shared" ref="J1123:J1144" si="272">H1123+I1123</f>
        <v>8909.268</v>
      </c>
      <c r="K1123" s="5">
        <f t="shared" si="271"/>
        <v>740.83385997006485</v>
      </c>
      <c r="L1123" s="5">
        <f t="shared" si="267"/>
        <v>0.21841225362333444</v>
      </c>
      <c r="M1123" s="5">
        <f t="shared" si="268"/>
        <v>0</v>
      </c>
      <c r="N1123" s="5">
        <f t="shared" si="269"/>
        <v>22242.2</v>
      </c>
    </row>
    <row r="1124" spans="1:14" ht="15.75" x14ac:dyDescent="0.25">
      <c r="A1124" s="38">
        <v>17</v>
      </c>
      <c r="B1124" s="34" t="s">
        <v>983</v>
      </c>
      <c r="C1124" s="18">
        <v>17547000000</v>
      </c>
      <c r="D1124" s="67" t="s">
        <v>2289</v>
      </c>
      <c r="E1124" s="86">
        <v>51.284999999999997</v>
      </c>
      <c r="F1124" s="86">
        <v>7.9000000000000001E-2</v>
      </c>
      <c r="G1124" s="86">
        <f t="shared" si="270"/>
        <v>51.363999999999997</v>
      </c>
      <c r="H1124" s="86">
        <v>76386.123999999996</v>
      </c>
      <c r="I1124" s="5">
        <f>(40.9+183.497)*0.6</f>
        <v>134.63820000000001</v>
      </c>
      <c r="J1124" s="5">
        <f t="shared" si="272"/>
        <v>76520.762199999997</v>
      </c>
      <c r="K1124" s="5">
        <f t="shared" si="271"/>
        <v>1489.7742037224516</v>
      </c>
      <c r="L1124" s="5">
        <f t="shared" si="267"/>
        <v>0.43921445658285269</v>
      </c>
      <c r="M1124" s="5">
        <f t="shared" si="268"/>
        <v>0</v>
      </c>
      <c r="N1124" s="5">
        <f t="shared" si="269"/>
        <v>64223.1</v>
      </c>
    </row>
    <row r="1125" spans="1:14" ht="31.5" x14ac:dyDescent="0.25">
      <c r="A1125" s="38">
        <v>17</v>
      </c>
      <c r="B1125" s="34" t="s">
        <v>984</v>
      </c>
      <c r="C1125" s="18">
        <v>17548000000</v>
      </c>
      <c r="D1125" s="67" t="s">
        <v>2290</v>
      </c>
      <c r="E1125" s="86">
        <v>9.83</v>
      </c>
      <c r="F1125" s="86">
        <v>2.8000000000000001E-2</v>
      </c>
      <c r="G1125" s="86">
        <f t="shared" ref="G1125:G1144" si="273">F1125+E1125</f>
        <v>9.8580000000000005</v>
      </c>
      <c r="H1125" s="86">
        <v>14915.31</v>
      </c>
      <c r="I1125" s="86">
        <f>(11.6+29.5)*0.6</f>
        <v>24.66</v>
      </c>
      <c r="J1125" s="5">
        <f t="shared" si="272"/>
        <v>14939.97</v>
      </c>
      <c r="K1125" s="5">
        <f t="shared" si="271"/>
        <v>1515.5173463177114</v>
      </c>
      <c r="L1125" s="5">
        <f t="shared" si="267"/>
        <v>0.4468040365054074</v>
      </c>
      <c r="M1125" s="5">
        <f t="shared" si="268"/>
        <v>0</v>
      </c>
      <c r="N1125" s="5">
        <f t="shared" si="269"/>
        <v>12123</v>
      </c>
    </row>
    <row r="1126" spans="1:14" ht="31.5" x14ac:dyDescent="0.25">
      <c r="A1126" s="38">
        <v>17</v>
      </c>
      <c r="B1126" s="34" t="s">
        <v>984</v>
      </c>
      <c r="C1126" s="18">
        <v>17549000000</v>
      </c>
      <c r="D1126" s="67" t="s">
        <v>2291</v>
      </c>
      <c r="E1126" s="86">
        <v>5.3849999999999998</v>
      </c>
      <c r="F1126" s="86">
        <v>5.0000000000000001E-3</v>
      </c>
      <c r="G1126" s="86">
        <f t="shared" si="273"/>
        <v>5.39</v>
      </c>
      <c r="H1126" s="86">
        <v>6701.8649999999998</v>
      </c>
      <c r="I1126" s="86"/>
      <c r="J1126" s="5">
        <f t="shared" si="272"/>
        <v>6701.8649999999998</v>
      </c>
      <c r="K1126" s="5">
        <f t="shared" si="271"/>
        <v>1243.3886827458257</v>
      </c>
      <c r="L1126" s="5">
        <f t="shared" si="267"/>
        <v>0.36657520532233567</v>
      </c>
      <c r="M1126" s="5">
        <f t="shared" si="268"/>
        <v>0</v>
      </c>
      <c r="N1126" s="5">
        <f t="shared" si="269"/>
        <v>7801.8</v>
      </c>
    </row>
    <row r="1127" spans="1:14" ht="31.5" x14ac:dyDescent="0.25">
      <c r="A1127" s="38">
        <v>17</v>
      </c>
      <c r="B1127" s="34" t="s">
        <v>984</v>
      </c>
      <c r="C1127" s="18">
        <v>17550000000</v>
      </c>
      <c r="D1127" s="67" t="s">
        <v>2292</v>
      </c>
      <c r="E1127" s="86">
        <v>7.8920000000000003</v>
      </c>
      <c r="F1127" s="86">
        <v>5.0000000000000001E-3</v>
      </c>
      <c r="G1127" s="86">
        <f t="shared" si="273"/>
        <v>7.8970000000000002</v>
      </c>
      <c r="H1127" s="86">
        <v>7842.3899999999994</v>
      </c>
      <c r="I1127" s="86"/>
      <c r="J1127" s="5">
        <f t="shared" si="272"/>
        <v>7842.3899999999994</v>
      </c>
      <c r="K1127" s="5">
        <f t="shared" si="271"/>
        <v>993.08471571482835</v>
      </c>
      <c r="L1127" s="5">
        <f t="shared" si="267"/>
        <v>0.29278071983228265</v>
      </c>
      <c r="M1127" s="5">
        <f t="shared" si="268"/>
        <v>0</v>
      </c>
      <c r="N1127" s="5">
        <f t="shared" si="269"/>
        <v>13011.9</v>
      </c>
    </row>
    <row r="1128" spans="1:14" ht="15.75" x14ac:dyDescent="0.25">
      <c r="A1128" s="38">
        <v>17</v>
      </c>
      <c r="B1128" s="34" t="s">
        <v>984</v>
      </c>
      <c r="C1128" s="18">
        <v>17551000000</v>
      </c>
      <c r="D1128" s="67" t="s">
        <v>2293</v>
      </c>
      <c r="E1128" s="86">
        <v>4.5339999999999998</v>
      </c>
      <c r="F1128" s="86">
        <v>2.1999999999999999E-2</v>
      </c>
      <c r="G1128" s="86">
        <f t="shared" si="273"/>
        <v>4.556</v>
      </c>
      <c r="H1128" s="86">
        <v>7140.6760000000004</v>
      </c>
      <c r="I1128" s="86"/>
      <c r="J1128" s="5">
        <f t="shared" si="272"/>
        <v>7140.6760000000004</v>
      </c>
      <c r="K1128" s="5">
        <f t="shared" si="271"/>
        <v>1567.3125548726955</v>
      </c>
      <c r="L1128" s="5">
        <f t="shared" si="267"/>
        <v>0.46207427297629688</v>
      </c>
      <c r="M1128" s="5">
        <f t="shared" si="268"/>
        <v>0</v>
      </c>
      <c r="N1128" s="5">
        <f t="shared" si="269"/>
        <v>5414</v>
      </c>
    </row>
    <row r="1129" spans="1:14" ht="31.5" x14ac:dyDescent="0.25">
      <c r="A1129" s="38">
        <v>17</v>
      </c>
      <c r="B1129" s="34" t="s">
        <v>985</v>
      </c>
      <c r="C1129" s="18">
        <v>17552000000</v>
      </c>
      <c r="D1129" s="67" t="s">
        <v>2294</v>
      </c>
      <c r="E1129" s="86">
        <v>26.38</v>
      </c>
      <c r="F1129" s="86">
        <v>4.1000000000000002E-2</v>
      </c>
      <c r="G1129" s="86">
        <f t="shared" si="273"/>
        <v>26.420999999999999</v>
      </c>
      <c r="H1129" s="86">
        <v>37724.781999999999</v>
      </c>
      <c r="I1129" s="86"/>
      <c r="J1129" s="5">
        <f t="shared" si="272"/>
        <v>37724.781999999999</v>
      </c>
      <c r="K1129" s="5">
        <f t="shared" si="271"/>
        <v>1427.8332387116309</v>
      </c>
      <c r="L1129" s="5">
        <f t="shared" si="267"/>
        <v>0.42095305346587836</v>
      </c>
      <c r="M1129" s="5">
        <f t="shared" si="268"/>
        <v>0</v>
      </c>
      <c r="N1129" s="5">
        <f t="shared" si="269"/>
        <v>34344.800000000003</v>
      </c>
    </row>
    <row r="1130" spans="1:14" ht="31.5" x14ac:dyDescent="0.25">
      <c r="A1130" s="38">
        <v>17</v>
      </c>
      <c r="B1130" s="34" t="s">
        <v>984</v>
      </c>
      <c r="C1130" s="18">
        <v>17553000000</v>
      </c>
      <c r="D1130" s="67" t="s">
        <v>2295</v>
      </c>
      <c r="E1130" s="86">
        <v>10.657</v>
      </c>
      <c r="F1130" s="86">
        <v>3.5000000000000003E-2</v>
      </c>
      <c r="G1130" s="86">
        <f t="shared" si="273"/>
        <v>10.692</v>
      </c>
      <c r="H1130" s="86">
        <v>21618.61</v>
      </c>
      <c r="I1130" s="86">
        <f>(51.1+40.4+35.6-155.7+70400)*0.6</f>
        <v>42222.84</v>
      </c>
      <c r="J1130" s="5">
        <f t="shared" si="272"/>
        <v>63841.45</v>
      </c>
      <c r="K1130" s="5">
        <f t="shared" si="271"/>
        <v>5970.9549195660302</v>
      </c>
      <c r="L1130" s="5">
        <f t="shared" si="267"/>
        <v>1.7603538265900114</v>
      </c>
      <c r="M1130" s="5">
        <f t="shared" si="268"/>
        <v>11974.3</v>
      </c>
      <c r="N1130" s="5">
        <f t="shared" si="269"/>
        <v>0</v>
      </c>
    </row>
    <row r="1131" spans="1:14" ht="31.5" x14ac:dyDescent="0.25">
      <c r="A1131" s="38">
        <v>17</v>
      </c>
      <c r="B1131" s="34" t="s">
        <v>985</v>
      </c>
      <c r="C1131" s="18">
        <v>17554000000</v>
      </c>
      <c r="D1131" s="67" t="s">
        <v>2296</v>
      </c>
      <c r="E1131" s="86">
        <v>22.922999999999998</v>
      </c>
      <c r="F1131" s="86">
        <v>1.4999999999999999E-2</v>
      </c>
      <c r="G1131" s="86">
        <f t="shared" si="273"/>
        <v>22.937999999999999</v>
      </c>
      <c r="H1131" s="86">
        <v>55005.526000000005</v>
      </c>
      <c r="I1131" s="86">
        <f>(155.7-183.497)*0.6</f>
        <v>-16.678200000000015</v>
      </c>
      <c r="J1131" s="5">
        <f t="shared" si="272"/>
        <v>54988.847800000003</v>
      </c>
      <c r="K1131" s="5">
        <f t="shared" si="271"/>
        <v>2397.2817072107423</v>
      </c>
      <c r="L1131" s="5">
        <f t="shared" si="267"/>
        <v>0.70676534717655848</v>
      </c>
      <c r="M1131" s="5">
        <f t="shared" si="268"/>
        <v>0</v>
      </c>
      <c r="N1131" s="5">
        <f t="shared" si="269"/>
        <v>12027.5</v>
      </c>
    </row>
    <row r="1132" spans="1:14" ht="15.75" x14ac:dyDescent="0.25">
      <c r="A1132" s="38">
        <v>17</v>
      </c>
      <c r="B1132" s="34" t="s">
        <v>986</v>
      </c>
      <c r="C1132" s="18">
        <v>17555000000</v>
      </c>
      <c r="D1132" s="67" t="s">
        <v>1064</v>
      </c>
      <c r="E1132" s="86">
        <v>37.256999999999998</v>
      </c>
      <c r="F1132" s="86">
        <v>0.155</v>
      </c>
      <c r="G1132" s="86">
        <f t="shared" si="273"/>
        <v>37.411999999999999</v>
      </c>
      <c r="H1132" s="83">
        <v>117302.546</v>
      </c>
      <c r="I1132" s="5">
        <f>(3046.3+24.6)*0.6</f>
        <v>1842.54</v>
      </c>
      <c r="J1132" s="5">
        <f t="shared" si="272"/>
        <v>119145.086</v>
      </c>
      <c r="K1132" s="5">
        <f t="shared" si="271"/>
        <v>3184.6756655618519</v>
      </c>
      <c r="L1132" s="5">
        <f t="shared" si="267"/>
        <v>0.93890442480971759</v>
      </c>
      <c r="M1132" s="5">
        <f t="shared" si="268"/>
        <v>0</v>
      </c>
      <c r="N1132" s="5">
        <f t="shared" si="269"/>
        <v>0</v>
      </c>
    </row>
    <row r="1133" spans="1:14" ht="31.5" x14ac:dyDescent="0.25">
      <c r="A1133" s="38">
        <v>17</v>
      </c>
      <c r="B1133" s="34" t="s">
        <v>983</v>
      </c>
      <c r="C1133" s="18">
        <v>17556000000</v>
      </c>
      <c r="D1133" s="67" t="s">
        <v>2297</v>
      </c>
      <c r="E1133" s="86">
        <v>34.625</v>
      </c>
      <c r="F1133" s="86">
        <v>6.7000000000000004E-2</v>
      </c>
      <c r="G1133" s="86">
        <f t="shared" si="273"/>
        <v>34.692</v>
      </c>
      <c r="H1133" s="86">
        <v>44301.627</v>
      </c>
      <c r="I1133" s="86"/>
      <c r="J1133" s="5">
        <f t="shared" si="272"/>
        <v>44301.627</v>
      </c>
      <c r="K1133" s="5">
        <f t="shared" si="271"/>
        <v>1276.9983569699066</v>
      </c>
      <c r="L1133" s="5">
        <f t="shared" si="267"/>
        <v>0.37648399201186983</v>
      </c>
      <c r="M1133" s="5">
        <f t="shared" si="268"/>
        <v>0</v>
      </c>
      <c r="N1133" s="5">
        <f t="shared" si="269"/>
        <v>49282.5</v>
      </c>
    </row>
    <row r="1134" spans="1:14" ht="31.5" x14ac:dyDescent="0.25">
      <c r="A1134" s="38">
        <v>17</v>
      </c>
      <c r="B1134" s="34" t="s">
        <v>985</v>
      </c>
      <c r="C1134" s="18">
        <v>17557000000</v>
      </c>
      <c r="D1134" s="67" t="s">
        <v>2298</v>
      </c>
      <c r="E1134" s="86">
        <v>28.603999999999999</v>
      </c>
      <c r="F1134" s="86">
        <v>2E-3</v>
      </c>
      <c r="G1134" s="86">
        <f t="shared" si="273"/>
        <v>28.605999999999998</v>
      </c>
      <c r="H1134" s="86">
        <v>34288.267999999996</v>
      </c>
      <c r="I1134" s="5">
        <f>(16.5-364.7)*0.6</f>
        <v>-208.92</v>
      </c>
      <c r="J1134" s="5">
        <f t="shared" si="272"/>
        <v>34079.347999999998</v>
      </c>
      <c r="K1134" s="5">
        <f t="shared" si="271"/>
        <v>1191.3356638467455</v>
      </c>
      <c r="L1134" s="5">
        <f t="shared" si="267"/>
        <v>0.35122896133977055</v>
      </c>
      <c r="M1134" s="5">
        <f t="shared" si="268"/>
        <v>0</v>
      </c>
      <c r="N1134" s="5">
        <f t="shared" si="269"/>
        <v>42597.3</v>
      </c>
    </row>
    <row r="1135" spans="1:14" ht="31.5" x14ac:dyDescent="0.25">
      <c r="A1135" s="38">
        <v>17</v>
      </c>
      <c r="B1135" s="34" t="s">
        <v>984</v>
      </c>
      <c r="C1135" s="18">
        <v>17558000000</v>
      </c>
      <c r="D1135" s="67" t="s">
        <v>2299</v>
      </c>
      <c r="E1135" s="86">
        <v>9.94</v>
      </c>
      <c r="F1135" s="86">
        <v>1.2E-2</v>
      </c>
      <c r="G1135" s="86">
        <f t="shared" si="273"/>
        <v>9.952</v>
      </c>
      <c r="H1135" s="86">
        <v>9990.6959999999999</v>
      </c>
      <c r="I1135" s="86"/>
      <c r="J1135" s="5">
        <f t="shared" si="272"/>
        <v>9990.6959999999999</v>
      </c>
      <c r="K1135" s="5">
        <f t="shared" si="271"/>
        <v>1003.8882636655949</v>
      </c>
      <c r="L1135" s="5">
        <f t="shared" si="267"/>
        <v>0.29596581622508256</v>
      </c>
      <c r="M1135" s="5">
        <f t="shared" si="268"/>
        <v>0</v>
      </c>
      <c r="N1135" s="5">
        <f t="shared" si="269"/>
        <v>16311.9</v>
      </c>
    </row>
    <row r="1136" spans="1:14" ht="31.5" x14ac:dyDescent="0.25">
      <c r="A1136" s="38">
        <v>17</v>
      </c>
      <c r="B1136" s="34" t="s">
        <v>983</v>
      </c>
      <c r="C1136" s="18">
        <v>17559000000</v>
      </c>
      <c r="D1136" s="67" t="s">
        <v>2300</v>
      </c>
      <c r="E1136" s="86">
        <v>31.527999999999999</v>
      </c>
      <c r="F1136" s="86">
        <v>0.106</v>
      </c>
      <c r="G1136" s="86">
        <f t="shared" si="273"/>
        <v>31.634</v>
      </c>
      <c r="H1136" s="86">
        <v>113018.18499999998</v>
      </c>
      <c r="I1136" s="86"/>
      <c r="J1136" s="5">
        <f t="shared" si="272"/>
        <v>113018.18499999998</v>
      </c>
      <c r="K1136" s="5">
        <f t="shared" si="271"/>
        <v>3572.6808181070992</v>
      </c>
      <c r="L1136" s="5">
        <f t="shared" si="267"/>
        <v>1.0532959022568977</v>
      </c>
      <c r="M1136" s="5">
        <f t="shared" si="268"/>
        <v>0</v>
      </c>
      <c r="N1136" s="5">
        <f t="shared" si="269"/>
        <v>0</v>
      </c>
    </row>
    <row r="1137" spans="1:14" ht="15.75" x14ac:dyDescent="0.25">
      <c r="A1137" s="38">
        <v>17</v>
      </c>
      <c r="B1137" s="34" t="s">
        <v>984</v>
      </c>
      <c r="C1137" s="18">
        <v>17560000000</v>
      </c>
      <c r="D1137" s="67" t="s">
        <v>2301</v>
      </c>
      <c r="E1137" s="86">
        <v>13.394</v>
      </c>
      <c r="F1137" s="86">
        <v>1.2E-2</v>
      </c>
      <c r="G1137" s="86">
        <f t="shared" si="273"/>
        <v>13.406000000000001</v>
      </c>
      <c r="H1137" s="86">
        <v>40578.99</v>
      </c>
      <c r="I1137" s="86"/>
      <c r="J1137" s="5">
        <f t="shared" si="272"/>
        <v>40578.99</v>
      </c>
      <c r="K1137" s="5">
        <f t="shared" si="271"/>
        <v>3026.9274951514244</v>
      </c>
      <c r="L1137" s="5">
        <f t="shared" si="267"/>
        <v>0.89239719118288052</v>
      </c>
      <c r="M1137" s="5">
        <f t="shared" si="268"/>
        <v>0</v>
      </c>
      <c r="N1137" s="5">
        <f t="shared" si="269"/>
        <v>276.60000000000002</v>
      </c>
    </row>
    <row r="1138" spans="1:14" ht="15.75" x14ac:dyDescent="0.25">
      <c r="A1138" s="38">
        <v>17</v>
      </c>
      <c r="B1138" s="34" t="s">
        <v>983</v>
      </c>
      <c r="C1138" s="18">
        <v>17561000000</v>
      </c>
      <c r="D1138" s="67" t="s">
        <v>2302</v>
      </c>
      <c r="E1138" s="86">
        <v>24.327000000000002</v>
      </c>
      <c r="F1138" s="86">
        <v>6.7000000000000004E-2</v>
      </c>
      <c r="G1138" s="86">
        <f t="shared" si="273"/>
        <v>24.394000000000002</v>
      </c>
      <c r="H1138" s="86">
        <v>39387.06500000001</v>
      </c>
      <c r="I1138" s="86"/>
      <c r="J1138" s="5">
        <f t="shared" si="272"/>
        <v>39387.06500000001</v>
      </c>
      <c r="K1138" s="5">
        <f t="shared" si="271"/>
        <v>1614.6210133639422</v>
      </c>
      <c r="L1138" s="5">
        <f t="shared" si="267"/>
        <v>0.47602172812492721</v>
      </c>
      <c r="M1138" s="5">
        <f t="shared" si="268"/>
        <v>0</v>
      </c>
      <c r="N1138" s="5">
        <f t="shared" si="269"/>
        <v>28064.7</v>
      </c>
    </row>
    <row r="1139" spans="1:14" ht="31.5" x14ac:dyDescent="0.25">
      <c r="A1139" s="38">
        <v>17</v>
      </c>
      <c r="B1139" s="34" t="s">
        <v>983</v>
      </c>
      <c r="C1139" s="18">
        <v>17562000000</v>
      </c>
      <c r="D1139" s="67" t="s">
        <v>2303</v>
      </c>
      <c r="E1139" s="86">
        <v>44.042000000000002</v>
      </c>
      <c r="F1139" s="86">
        <v>4.2000000000000003E-2</v>
      </c>
      <c r="G1139" s="86">
        <f t="shared" si="273"/>
        <v>44.084000000000003</v>
      </c>
      <c r="H1139" s="86">
        <v>111844.852</v>
      </c>
      <c r="I1139" s="86"/>
      <c r="J1139" s="5">
        <f t="shared" si="272"/>
        <v>111844.852</v>
      </c>
      <c r="K1139" s="5">
        <f t="shared" si="271"/>
        <v>2537.0849287723436</v>
      </c>
      <c r="L1139" s="5">
        <f t="shared" si="267"/>
        <v>0.7479820603088464</v>
      </c>
      <c r="M1139" s="5">
        <f t="shared" si="268"/>
        <v>0</v>
      </c>
      <c r="N1139" s="5">
        <f t="shared" si="269"/>
        <v>18184.8</v>
      </c>
    </row>
    <row r="1140" spans="1:14" ht="15.75" x14ac:dyDescent="0.25">
      <c r="A1140" s="38">
        <v>17</v>
      </c>
      <c r="B1140" s="34" t="s">
        <v>985</v>
      </c>
      <c r="C1140" s="18">
        <v>17563000000</v>
      </c>
      <c r="D1140" s="67" t="s">
        <v>2304</v>
      </c>
      <c r="E1140" s="86">
        <v>14.127000000000001</v>
      </c>
      <c r="F1140" s="86">
        <v>8.9999999999999993E-3</v>
      </c>
      <c r="G1140" s="86">
        <f t="shared" si="273"/>
        <v>14.136000000000001</v>
      </c>
      <c r="H1140" s="86">
        <v>15460.67</v>
      </c>
      <c r="I1140" s="86"/>
      <c r="J1140" s="5">
        <f t="shared" si="272"/>
        <v>15460.67</v>
      </c>
      <c r="K1140" s="5">
        <f t="shared" si="271"/>
        <v>1093.7089700056592</v>
      </c>
      <c r="L1140" s="5">
        <f t="shared" si="267"/>
        <v>0.32244671019308485</v>
      </c>
      <c r="M1140" s="5">
        <f t="shared" si="268"/>
        <v>0</v>
      </c>
      <c r="N1140" s="5">
        <f t="shared" si="269"/>
        <v>22154</v>
      </c>
    </row>
    <row r="1141" spans="1:14" ht="15.75" x14ac:dyDescent="0.25">
      <c r="A1141" s="38">
        <v>17</v>
      </c>
      <c r="B1141" s="34" t="s">
        <v>986</v>
      </c>
      <c r="C1141" s="18">
        <v>17564000000</v>
      </c>
      <c r="D1141" s="67" t="s">
        <v>2305</v>
      </c>
      <c r="E1141" s="86">
        <v>253.40600000000001</v>
      </c>
      <c r="F1141" s="86">
        <v>1.407</v>
      </c>
      <c r="G1141" s="86">
        <f t="shared" si="273"/>
        <v>254.81300000000002</v>
      </c>
      <c r="H1141" s="83">
        <v>1099968.3600000001</v>
      </c>
      <c r="I1141" s="83">
        <f>(31.73601-34.4-41.3-66.9-24.8-116.1-106.2-36.1-950.3-55.6-41.9-44.3-32.8-60.5-12.9-618.5-17.4-190.8-47.9-16.8-25.1-33.7-24.2-40.9-11.6-29.5-51.1-40.4-35.6-24.6-16.5+2078.8+3.88802+453.107-222.8-28-27.5-35.9-41.7-32.8-21.3-32-18.5-70400-87.4-29.5+3.3+64.328)*0.6</f>
        <v>-42714.564581999999</v>
      </c>
      <c r="J1141" s="5">
        <f t="shared" si="272"/>
        <v>1057253.7954180001</v>
      </c>
      <c r="K1141" s="5">
        <f t="shared" si="271"/>
        <v>4149.1360151091194</v>
      </c>
      <c r="L1141" s="5">
        <f t="shared" si="267"/>
        <v>1.2232461238830825</v>
      </c>
      <c r="M1141" s="5">
        <f t="shared" si="268"/>
        <v>53260.9</v>
      </c>
      <c r="N1141" s="5">
        <f t="shared" si="269"/>
        <v>0</v>
      </c>
    </row>
    <row r="1142" spans="1:14" ht="31.5" x14ac:dyDescent="0.25">
      <c r="A1142" s="38">
        <v>17</v>
      </c>
      <c r="B1142" s="34" t="s">
        <v>985</v>
      </c>
      <c r="C1142" s="18">
        <v>17565000000</v>
      </c>
      <c r="D1142" s="67" t="s">
        <v>2306</v>
      </c>
      <c r="E1142" s="86">
        <v>39.468000000000004</v>
      </c>
      <c r="F1142" s="86">
        <v>3.9E-2</v>
      </c>
      <c r="G1142" s="86">
        <f t="shared" si="273"/>
        <v>39.507000000000005</v>
      </c>
      <c r="H1142" s="86">
        <v>65450.512000000002</v>
      </c>
      <c r="I1142" s="86"/>
      <c r="J1142" s="5">
        <f t="shared" si="272"/>
        <v>65450.512000000002</v>
      </c>
      <c r="K1142" s="5">
        <f t="shared" si="271"/>
        <v>1656.6813982332244</v>
      </c>
      <c r="L1142" s="5">
        <f t="shared" si="267"/>
        <v>0.48842194893548241</v>
      </c>
      <c r="M1142" s="5">
        <f t="shared" si="268"/>
        <v>0</v>
      </c>
      <c r="N1142" s="5">
        <f t="shared" si="269"/>
        <v>44122.5</v>
      </c>
    </row>
    <row r="1143" spans="1:14" ht="15.75" x14ac:dyDescent="0.25">
      <c r="A1143" s="38">
        <v>17</v>
      </c>
      <c r="B1143" s="34" t="s">
        <v>983</v>
      </c>
      <c r="C1143" s="18">
        <v>17566000000</v>
      </c>
      <c r="D1143" s="67" t="s">
        <v>2307</v>
      </c>
      <c r="E1143" s="86">
        <v>65.962999999999994</v>
      </c>
      <c r="F1143" s="86">
        <v>6.3E-2</v>
      </c>
      <c r="G1143" s="86">
        <f t="shared" si="273"/>
        <v>66.025999999999996</v>
      </c>
      <c r="H1143" s="86">
        <v>132357.58100000001</v>
      </c>
      <c r="I1143" s="86"/>
      <c r="J1143" s="5">
        <f t="shared" si="272"/>
        <v>132357.58100000001</v>
      </c>
      <c r="K1143" s="5">
        <f t="shared" si="271"/>
        <v>2004.6281919243936</v>
      </c>
      <c r="L1143" s="5">
        <f t="shared" si="267"/>
        <v>0.59100344184156051</v>
      </c>
      <c r="M1143" s="5">
        <f t="shared" si="268"/>
        <v>0</v>
      </c>
      <c r="N1143" s="5">
        <f t="shared" si="269"/>
        <v>55360.800000000003</v>
      </c>
    </row>
    <row r="1144" spans="1:14" ht="31.5" x14ac:dyDescent="0.25">
      <c r="A1144" s="38">
        <v>17</v>
      </c>
      <c r="B1144" s="34" t="s">
        <v>985</v>
      </c>
      <c r="C1144" s="18">
        <v>17567000000</v>
      </c>
      <c r="D1144" s="67" t="s">
        <v>2308</v>
      </c>
      <c r="E1144" s="86">
        <v>6.7560000000000002</v>
      </c>
      <c r="F1144" s="86">
        <v>2.5000000000000001E-2</v>
      </c>
      <c r="G1144" s="86">
        <f t="shared" si="273"/>
        <v>6.7810000000000006</v>
      </c>
      <c r="H1144" s="86">
        <v>11870.263503000002</v>
      </c>
      <c r="I1144" s="86"/>
      <c r="J1144" s="5">
        <f t="shared" si="272"/>
        <v>11870.263503000002</v>
      </c>
      <c r="K1144" s="5">
        <f t="shared" si="271"/>
        <v>1750.5181393599764</v>
      </c>
      <c r="L1144" s="5">
        <f>K1144/$K$1659</f>
        <v>0.51608684819237038</v>
      </c>
      <c r="M1144" s="5">
        <f t="shared" si="268"/>
        <v>0</v>
      </c>
      <c r="N1144" s="5">
        <f t="shared" si="269"/>
        <v>7064.2</v>
      </c>
    </row>
    <row r="1145" spans="1:14" s="13" customFormat="1" ht="15.75" x14ac:dyDescent="0.25">
      <c r="A1145" s="36">
        <v>18</v>
      </c>
      <c r="B1145" s="17" t="s">
        <v>7</v>
      </c>
      <c r="C1145" s="17" t="s">
        <v>805</v>
      </c>
      <c r="D1145" s="11" t="s">
        <v>20</v>
      </c>
      <c r="E1145" s="11">
        <f t="shared" ref="E1145:J1145" si="274">E1146+E1147+E1153</f>
        <v>1053.452</v>
      </c>
      <c r="F1145" s="11">
        <f t="shared" si="274"/>
        <v>11.133999999999999</v>
      </c>
      <c r="G1145" s="11">
        <f t="shared" si="274"/>
        <v>1063.8410000000001</v>
      </c>
      <c r="H1145" s="11">
        <f t="shared" si="274"/>
        <v>3612369.3291699998</v>
      </c>
      <c r="I1145" s="11">
        <f t="shared" si="274"/>
        <v>-613.11584399999902</v>
      </c>
      <c r="J1145" s="11">
        <f t="shared" si="274"/>
        <v>3611756.2133260011</v>
      </c>
      <c r="K1145" s="11">
        <f t="shared" si="271"/>
        <v>3395.0150570677392</v>
      </c>
      <c r="L1145" s="11">
        <f>K1145/$K$1659</f>
        <v>1.0009165749109805</v>
      </c>
      <c r="M1145" s="11">
        <f>M1146+M1147+M1153</f>
        <v>194594.59999999998</v>
      </c>
      <c r="N1145" s="11">
        <f>N1146+N1147+N1153</f>
        <v>254659.50000000006</v>
      </c>
    </row>
    <row r="1146" spans="1:14" s="13" customFormat="1" ht="15.75" x14ac:dyDescent="0.25">
      <c r="A1146" s="38">
        <v>18</v>
      </c>
      <c r="B1146" s="34" t="s">
        <v>6</v>
      </c>
      <c r="C1146" s="18" t="s">
        <v>166</v>
      </c>
      <c r="D1146" s="32" t="s">
        <v>856</v>
      </c>
      <c r="E1146" s="5">
        <v>0</v>
      </c>
      <c r="F1146" s="5">
        <v>0.745</v>
      </c>
      <c r="G1146" s="5"/>
      <c r="H1146" s="49"/>
      <c r="I1146" s="49"/>
      <c r="J1146" s="5"/>
      <c r="K1146" s="5"/>
      <c r="L1146" s="5"/>
      <c r="M1146" s="5"/>
      <c r="N1146" s="5"/>
    </row>
    <row r="1147" spans="1:14" s="13" customFormat="1" ht="15.75" x14ac:dyDescent="0.25">
      <c r="A1147" s="37">
        <v>18</v>
      </c>
      <c r="B1147" s="19" t="s">
        <v>5</v>
      </c>
      <c r="C1147" s="19" t="s">
        <v>806</v>
      </c>
      <c r="D1147" s="7" t="s">
        <v>2811</v>
      </c>
      <c r="E1147" s="7">
        <f t="shared" ref="E1147:J1147" si="275">SUM(E1148:E1152)</f>
        <v>0</v>
      </c>
      <c r="F1147" s="7">
        <f t="shared" si="275"/>
        <v>0</v>
      </c>
      <c r="G1147" s="7">
        <f t="shared" si="275"/>
        <v>0</v>
      </c>
      <c r="H1147" s="7">
        <f t="shared" si="275"/>
        <v>0</v>
      </c>
      <c r="I1147" s="7">
        <f t="shared" si="275"/>
        <v>0</v>
      </c>
      <c r="J1147" s="7">
        <f t="shared" si="275"/>
        <v>0</v>
      </c>
      <c r="K1147" s="7" t="e">
        <f>J1147/G1147</f>
        <v>#DIV/0!</v>
      </c>
      <c r="L1147" s="7" t="e">
        <f>K1147/$K$1659</f>
        <v>#DIV/0!</v>
      </c>
      <c r="M1147" s="7">
        <f>SUM(M1148:M1152)</f>
        <v>0</v>
      </c>
      <c r="N1147" s="7">
        <f>SUM(N1148:N1152)</f>
        <v>0</v>
      </c>
    </row>
    <row r="1148" spans="1:14" s="13" customFormat="1" ht="15.75" x14ac:dyDescent="0.25">
      <c r="A1148" s="38">
        <v>18</v>
      </c>
      <c r="B1148" s="34" t="s">
        <v>4</v>
      </c>
      <c r="C1148" s="82" t="s">
        <v>167</v>
      </c>
      <c r="D1148" s="68" t="s">
        <v>944</v>
      </c>
      <c r="E1148" s="76"/>
      <c r="F1148" s="76"/>
      <c r="G1148" s="5"/>
      <c r="H1148" s="5"/>
      <c r="I1148" s="5"/>
      <c r="J1148" s="5"/>
      <c r="K1148" s="5"/>
      <c r="L1148" s="5"/>
      <c r="M1148" s="5"/>
      <c r="N1148" s="5"/>
    </row>
    <row r="1149" spans="1:14" s="13" customFormat="1" ht="15.75" x14ac:dyDescent="0.25">
      <c r="A1149" s="38">
        <v>18</v>
      </c>
      <c r="B1149" s="34" t="s">
        <v>4</v>
      </c>
      <c r="C1149" s="82" t="s">
        <v>168</v>
      </c>
      <c r="D1149" s="68" t="s">
        <v>945</v>
      </c>
      <c r="E1149" s="76"/>
      <c r="F1149" s="76"/>
      <c r="G1149" s="5"/>
      <c r="H1149" s="5"/>
      <c r="I1149" s="5"/>
      <c r="J1149" s="5"/>
      <c r="K1149" s="5"/>
      <c r="L1149" s="5"/>
      <c r="M1149" s="5"/>
      <c r="N1149" s="5"/>
    </row>
    <row r="1150" spans="1:14" s="13" customFormat="1" ht="15.75" x14ac:dyDescent="0.25">
      <c r="A1150" s="38">
        <v>18</v>
      </c>
      <c r="B1150" s="34" t="s">
        <v>4</v>
      </c>
      <c r="C1150" s="82" t="s">
        <v>169</v>
      </c>
      <c r="D1150" s="68" t="s">
        <v>946</v>
      </c>
      <c r="E1150" s="76"/>
      <c r="F1150" s="76"/>
      <c r="G1150" s="5"/>
      <c r="H1150" s="5"/>
      <c r="I1150" s="5"/>
      <c r="J1150" s="5"/>
      <c r="K1150" s="5"/>
      <c r="L1150" s="5"/>
      <c r="M1150" s="5"/>
      <c r="N1150" s="5"/>
    </row>
    <row r="1151" spans="1:14" s="13" customFormat="1" ht="15.75" x14ac:dyDescent="0.25">
      <c r="A1151" s="38">
        <v>18</v>
      </c>
      <c r="B1151" s="34" t="s">
        <v>4</v>
      </c>
      <c r="C1151" s="82" t="s">
        <v>170</v>
      </c>
      <c r="D1151" s="68" t="s">
        <v>947</v>
      </c>
      <c r="E1151" s="76"/>
      <c r="F1151" s="76"/>
      <c r="G1151" s="5"/>
      <c r="H1151" s="5"/>
      <c r="I1151" s="5"/>
      <c r="J1151" s="5"/>
      <c r="K1151" s="5"/>
      <c r="L1151" s="5"/>
      <c r="M1151" s="5"/>
      <c r="N1151" s="5"/>
    </row>
    <row r="1152" spans="1:14" s="13" customFormat="1" ht="15.75" x14ac:dyDescent="0.25">
      <c r="A1152" s="38">
        <v>18</v>
      </c>
      <c r="B1152" s="34" t="s">
        <v>4</v>
      </c>
      <c r="C1152" s="18" t="s">
        <v>171</v>
      </c>
      <c r="D1152" s="32" t="s">
        <v>948</v>
      </c>
      <c r="E1152" s="76"/>
      <c r="F1152" s="76"/>
      <c r="G1152" s="5"/>
      <c r="H1152" s="5"/>
      <c r="I1152" s="5"/>
      <c r="J1152" s="5"/>
      <c r="K1152" s="5"/>
      <c r="L1152" s="5"/>
      <c r="M1152" s="5"/>
      <c r="N1152" s="5"/>
    </row>
    <row r="1153" spans="1:14" s="13" customFormat="1" ht="31.5" x14ac:dyDescent="0.25">
      <c r="A1153" s="37">
        <v>18</v>
      </c>
      <c r="B1153" s="19" t="s">
        <v>28</v>
      </c>
      <c r="C1153" s="19" t="s">
        <v>807</v>
      </c>
      <c r="D1153" s="20" t="s">
        <v>2784</v>
      </c>
      <c r="E1153" s="7">
        <f t="shared" ref="E1153:J1153" si="276">SUM(E1154:E1204)</f>
        <v>1053.452</v>
      </c>
      <c r="F1153" s="7">
        <f t="shared" si="276"/>
        <v>10.388999999999999</v>
      </c>
      <c r="G1153" s="7">
        <f t="shared" si="276"/>
        <v>1063.8410000000001</v>
      </c>
      <c r="H1153" s="7">
        <f t="shared" si="276"/>
        <v>3612369.3291699998</v>
      </c>
      <c r="I1153" s="7">
        <f t="shared" si="276"/>
        <v>-613.11584399999902</v>
      </c>
      <c r="J1153" s="7">
        <f t="shared" si="276"/>
        <v>3611756.2133260011</v>
      </c>
      <c r="K1153" s="7">
        <f t="shared" ref="K1153:K1161" si="277">J1153/G1153</f>
        <v>3395.0150570677392</v>
      </c>
      <c r="L1153" s="7">
        <f t="shared" ref="L1153:L1184" si="278">K1153/$K$1659</f>
        <v>1.0009165749109805</v>
      </c>
      <c r="M1153" s="7">
        <f>SUM(M1154:M1204)</f>
        <v>194594.59999999998</v>
      </c>
      <c r="N1153" s="7">
        <f>SUM(N1154:N1204)</f>
        <v>254659.50000000006</v>
      </c>
    </row>
    <row r="1154" spans="1:14" s="13" customFormat="1" ht="31.5" x14ac:dyDescent="0.25">
      <c r="A1154" s="38">
        <v>18</v>
      </c>
      <c r="B1154" s="34" t="s">
        <v>984</v>
      </c>
      <c r="C1154" s="18" t="s">
        <v>172</v>
      </c>
      <c r="D1154" s="32" t="s">
        <v>1461</v>
      </c>
      <c r="E1154" s="76">
        <v>4.8899999999999997</v>
      </c>
      <c r="F1154" s="76">
        <v>1.4E-2</v>
      </c>
      <c r="G1154" s="5">
        <f t="shared" ref="G1154:G1193" si="279">F1154+E1154</f>
        <v>4.9039999999999999</v>
      </c>
      <c r="H1154" s="5">
        <v>12459.95882</v>
      </c>
      <c r="I1154" s="5"/>
      <c r="J1154" s="5">
        <f t="shared" ref="J1154:J1191" si="280">H1154+I1154</f>
        <v>12459.95882</v>
      </c>
      <c r="K1154" s="5">
        <f t="shared" si="277"/>
        <v>2540.7746370309951</v>
      </c>
      <c r="L1154" s="5">
        <f t="shared" si="278"/>
        <v>0.74906985818031147</v>
      </c>
      <c r="M1154" s="5">
        <f t="shared" ref="M1154:M1185" si="281">ROUND(IF(L1154&lt;110%,0,(K1154-$K$1659*1.1)*0.5)*G1154,1)</f>
        <v>0</v>
      </c>
      <c r="N1154" s="5">
        <f t="shared" ref="N1154:N1185" si="282">ROUND(IF(L1154&gt;90%,0,(-K1154+$K$1659*0.9)*0.8)*G1154,1)</f>
        <v>2008.4</v>
      </c>
    </row>
    <row r="1155" spans="1:14" s="13" customFormat="1" ht="15.75" x14ac:dyDescent="0.25">
      <c r="A1155" s="38">
        <v>18</v>
      </c>
      <c r="B1155" s="34" t="s">
        <v>983</v>
      </c>
      <c r="C1155" s="18" t="s">
        <v>411</v>
      </c>
      <c r="D1155" s="32" t="s">
        <v>2309</v>
      </c>
      <c r="E1155" s="76">
        <v>5.4059999999999997</v>
      </c>
      <c r="F1155" s="76">
        <v>5.0999999999999997E-2</v>
      </c>
      <c r="G1155" s="5">
        <f t="shared" si="279"/>
        <v>5.4569999999999999</v>
      </c>
      <c r="H1155" s="5">
        <v>24419.030999999999</v>
      </c>
      <c r="I1155" s="5"/>
      <c r="J1155" s="5">
        <f t="shared" si="280"/>
        <v>24419.030999999999</v>
      </c>
      <c r="K1155" s="5">
        <f t="shared" si="277"/>
        <v>4474.808686091259</v>
      </c>
      <c r="L1155" s="5">
        <f t="shared" si="278"/>
        <v>1.3192607715067941</v>
      </c>
      <c r="M1155" s="5">
        <f t="shared" si="281"/>
        <v>2029.2</v>
      </c>
      <c r="N1155" s="5">
        <f t="shared" si="282"/>
        <v>0</v>
      </c>
    </row>
    <row r="1156" spans="1:14" s="13" customFormat="1" ht="31.5" x14ac:dyDescent="0.25">
      <c r="A1156" s="38">
        <v>18</v>
      </c>
      <c r="B1156" s="34" t="s">
        <v>985</v>
      </c>
      <c r="C1156" s="18" t="s">
        <v>412</v>
      </c>
      <c r="D1156" s="32" t="s">
        <v>2310</v>
      </c>
      <c r="E1156" s="76">
        <v>4.8280000000000003</v>
      </c>
      <c r="F1156" s="76">
        <v>6.4000000000000001E-2</v>
      </c>
      <c r="G1156" s="5">
        <f t="shared" si="279"/>
        <v>4.8920000000000003</v>
      </c>
      <c r="H1156" s="5">
        <v>9741.2250000000004</v>
      </c>
      <c r="I1156" s="5"/>
      <c r="J1156" s="5">
        <f t="shared" si="280"/>
        <v>9741.2250000000004</v>
      </c>
      <c r="K1156" s="5">
        <f t="shared" si="277"/>
        <v>1991.2561324611611</v>
      </c>
      <c r="L1156" s="5">
        <f t="shared" si="278"/>
        <v>0.58706109821937802</v>
      </c>
      <c r="M1156" s="5">
        <f t="shared" si="281"/>
        <v>0</v>
      </c>
      <c r="N1156" s="5">
        <f t="shared" si="282"/>
        <v>4154.1000000000004</v>
      </c>
    </row>
    <row r="1157" spans="1:14" s="13" customFormat="1" ht="31.5" x14ac:dyDescent="0.25">
      <c r="A1157" s="38">
        <v>18</v>
      </c>
      <c r="B1157" s="34" t="s">
        <v>985</v>
      </c>
      <c r="C1157" s="18" t="s">
        <v>413</v>
      </c>
      <c r="D1157" s="32" t="s">
        <v>2311</v>
      </c>
      <c r="E1157" s="76">
        <v>6.2050000000000001</v>
      </c>
      <c r="F1157" s="76">
        <v>5.0999999999999997E-2</v>
      </c>
      <c r="G1157" s="5">
        <f t="shared" si="279"/>
        <v>6.2560000000000002</v>
      </c>
      <c r="H1157" s="5">
        <v>11420.968999999999</v>
      </c>
      <c r="I1157" s="5"/>
      <c r="J1157" s="5">
        <f t="shared" si="280"/>
        <v>11420.968999999999</v>
      </c>
      <c r="K1157" s="5">
        <f t="shared" si="277"/>
        <v>1825.6024616368284</v>
      </c>
      <c r="L1157" s="5">
        <f t="shared" si="278"/>
        <v>0.53822316906859313</v>
      </c>
      <c r="M1157" s="5">
        <f t="shared" si="281"/>
        <v>0</v>
      </c>
      <c r="N1157" s="5">
        <f t="shared" si="282"/>
        <v>6141.5</v>
      </c>
    </row>
    <row r="1158" spans="1:14" s="13" customFormat="1" ht="31.5" x14ac:dyDescent="0.25">
      <c r="A1158" s="38">
        <v>18</v>
      </c>
      <c r="B1158" s="34" t="s">
        <v>985</v>
      </c>
      <c r="C1158" s="18" t="s">
        <v>414</v>
      </c>
      <c r="D1158" s="32" t="s">
        <v>2162</v>
      </c>
      <c r="E1158" s="76">
        <v>12.132</v>
      </c>
      <c r="F1158" s="76">
        <v>8.4000000000000005E-2</v>
      </c>
      <c r="G1158" s="5">
        <f t="shared" si="279"/>
        <v>12.215999999999999</v>
      </c>
      <c r="H1158" s="5">
        <v>33001.175999999999</v>
      </c>
      <c r="I1158" s="5"/>
      <c r="J1158" s="5">
        <f t="shared" si="280"/>
        <v>33001.175999999999</v>
      </c>
      <c r="K1158" s="5">
        <f t="shared" si="277"/>
        <v>2701.4715127701375</v>
      </c>
      <c r="L1158" s="5">
        <f t="shared" si="278"/>
        <v>0.79644642757987061</v>
      </c>
      <c r="M1158" s="5">
        <f t="shared" si="281"/>
        <v>0</v>
      </c>
      <c r="N1158" s="5">
        <f t="shared" si="282"/>
        <v>3432.6</v>
      </c>
    </row>
    <row r="1159" spans="1:14" s="13" customFormat="1" ht="31.5" x14ac:dyDescent="0.25">
      <c r="A1159" s="38">
        <v>18</v>
      </c>
      <c r="B1159" s="34" t="s">
        <v>985</v>
      </c>
      <c r="C1159" s="18" t="s">
        <v>415</v>
      </c>
      <c r="D1159" s="32" t="s">
        <v>2312</v>
      </c>
      <c r="E1159" s="76">
        <v>14.215</v>
      </c>
      <c r="F1159" s="76">
        <v>0.17199999999999999</v>
      </c>
      <c r="G1159" s="5">
        <f t="shared" si="279"/>
        <v>14.387</v>
      </c>
      <c r="H1159" s="5">
        <v>44194.491999999998</v>
      </c>
      <c r="I1159" s="5">
        <f>(28.437)*0.6</f>
        <v>17.062200000000001</v>
      </c>
      <c r="J1159" s="5">
        <f t="shared" si="280"/>
        <v>44211.554199999999</v>
      </c>
      <c r="K1159" s="5">
        <f t="shared" si="277"/>
        <v>3073.0210745812192</v>
      </c>
      <c r="L1159" s="5">
        <f t="shared" si="278"/>
        <v>0.90598647631792351</v>
      </c>
      <c r="M1159" s="5">
        <f t="shared" si="281"/>
        <v>0</v>
      </c>
      <c r="N1159" s="5">
        <f t="shared" si="282"/>
        <v>0</v>
      </c>
    </row>
    <row r="1160" spans="1:14" s="13" customFormat="1" ht="15.75" x14ac:dyDescent="0.25">
      <c r="A1160" s="38">
        <v>18</v>
      </c>
      <c r="B1160" s="34" t="s">
        <v>985</v>
      </c>
      <c r="C1160" s="18" t="s">
        <v>416</v>
      </c>
      <c r="D1160" s="32" t="s">
        <v>2313</v>
      </c>
      <c r="E1160" s="76">
        <v>6.2160000000000002</v>
      </c>
      <c r="F1160" s="76">
        <v>3.1E-2</v>
      </c>
      <c r="G1160" s="5">
        <f t="shared" si="279"/>
        <v>6.2469999999999999</v>
      </c>
      <c r="H1160" s="5">
        <v>22578.574000000001</v>
      </c>
      <c r="I1160" s="5">
        <f>(2076.932)*0.6</f>
        <v>1246.1591999999998</v>
      </c>
      <c r="J1160" s="5">
        <f t="shared" si="280"/>
        <v>23824.733199999999</v>
      </c>
      <c r="K1160" s="5">
        <f t="shared" si="277"/>
        <v>3813.7879302064989</v>
      </c>
      <c r="L1160" s="5">
        <f t="shared" si="278"/>
        <v>1.124378975755147</v>
      </c>
      <c r="M1160" s="5">
        <f t="shared" si="281"/>
        <v>258.3</v>
      </c>
      <c r="N1160" s="5">
        <f t="shared" si="282"/>
        <v>0</v>
      </c>
    </row>
    <row r="1161" spans="1:14" s="13" customFormat="1" ht="31.5" x14ac:dyDescent="0.25">
      <c r="A1161" s="38">
        <v>18</v>
      </c>
      <c r="B1161" s="34" t="s">
        <v>985</v>
      </c>
      <c r="C1161" s="18" t="s">
        <v>417</v>
      </c>
      <c r="D1161" s="32" t="s">
        <v>2314</v>
      </c>
      <c r="E1161" s="76">
        <v>4.2</v>
      </c>
      <c r="F1161" s="76">
        <v>2.1999999999999999E-2</v>
      </c>
      <c r="G1161" s="5">
        <f t="shared" si="279"/>
        <v>4.2220000000000004</v>
      </c>
      <c r="H1161" s="5">
        <v>14514.05</v>
      </c>
      <c r="I1161" s="5"/>
      <c r="J1161" s="5">
        <f t="shared" si="280"/>
        <v>14514.05</v>
      </c>
      <c r="K1161" s="5">
        <f t="shared" si="277"/>
        <v>3437.7190904784457</v>
      </c>
      <c r="L1161" s="5">
        <f t="shared" si="278"/>
        <v>1.0135065558500476</v>
      </c>
      <c r="M1161" s="5">
        <f t="shared" si="281"/>
        <v>0</v>
      </c>
      <c r="N1161" s="5">
        <f t="shared" si="282"/>
        <v>0</v>
      </c>
    </row>
    <row r="1162" spans="1:14" s="13" customFormat="1" ht="31.5" x14ac:dyDescent="0.25">
      <c r="A1162" s="38">
        <v>18</v>
      </c>
      <c r="B1162" s="34" t="s">
        <v>984</v>
      </c>
      <c r="C1162" s="18" t="s">
        <v>418</v>
      </c>
      <c r="D1162" s="32" t="s">
        <v>2315</v>
      </c>
      <c r="E1162" s="76">
        <v>3.4929999999999999</v>
      </c>
      <c r="F1162" s="76">
        <v>1.9E-2</v>
      </c>
      <c r="G1162" s="5">
        <f t="shared" si="279"/>
        <v>3.512</v>
      </c>
      <c r="H1162" s="5">
        <v>6753.7619999999997</v>
      </c>
      <c r="I1162" s="5"/>
      <c r="J1162" s="5">
        <f t="shared" si="280"/>
        <v>6753.7619999999997</v>
      </c>
      <c r="K1162" s="5">
        <f t="shared" ref="K1162:K1205" si="283">J1162/G1162</f>
        <v>1923.0529612756263</v>
      </c>
      <c r="L1162" s="5">
        <f t="shared" si="278"/>
        <v>0.5669534747321191</v>
      </c>
      <c r="M1162" s="5">
        <f t="shared" si="281"/>
        <v>0</v>
      </c>
      <c r="N1162" s="5">
        <f t="shared" si="282"/>
        <v>3173.9</v>
      </c>
    </row>
    <row r="1163" spans="1:14" s="13" customFormat="1" ht="31.5" x14ac:dyDescent="0.25">
      <c r="A1163" s="38">
        <v>18</v>
      </c>
      <c r="B1163" s="34" t="s">
        <v>984</v>
      </c>
      <c r="C1163" s="18" t="s">
        <v>419</v>
      </c>
      <c r="D1163" s="32" t="s">
        <v>2316</v>
      </c>
      <c r="E1163" s="76">
        <v>5.0380000000000003</v>
      </c>
      <c r="F1163" s="76">
        <v>0.02</v>
      </c>
      <c r="G1163" s="5">
        <f t="shared" si="279"/>
        <v>5.0579999999999998</v>
      </c>
      <c r="H1163" s="5">
        <v>16704.463</v>
      </c>
      <c r="I1163" s="5"/>
      <c r="J1163" s="5">
        <f t="shared" si="280"/>
        <v>16704.463</v>
      </c>
      <c r="K1163" s="5">
        <f t="shared" si="283"/>
        <v>3302.5826413602217</v>
      </c>
      <c r="L1163" s="5">
        <f t="shared" si="278"/>
        <v>0.97366569814443593</v>
      </c>
      <c r="M1163" s="5">
        <f t="shared" si="281"/>
        <v>0</v>
      </c>
      <c r="N1163" s="5">
        <f t="shared" si="282"/>
        <v>0</v>
      </c>
    </row>
    <row r="1164" spans="1:14" s="13" customFormat="1" ht="15.75" x14ac:dyDescent="0.25">
      <c r="A1164" s="38">
        <v>18</v>
      </c>
      <c r="B1164" s="34" t="s">
        <v>984</v>
      </c>
      <c r="C1164" s="18" t="s">
        <v>420</v>
      </c>
      <c r="D1164" s="32" t="s">
        <v>2317</v>
      </c>
      <c r="E1164" s="76">
        <v>5.3970000000000002</v>
      </c>
      <c r="F1164" s="76">
        <v>6.6000000000000003E-2</v>
      </c>
      <c r="G1164" s="5">
        <f t="shared" si="279"/>
        <v>5.4630000000000001</v>
      </c>
      <c r="H1164" s="5">
        <v>8725.8870000000006</v>
      </c>
      <c r="I1164" s="5"/>
      <c r="J1164" s="5">
        <f t="shared" si="280"/>
        <v>8725.8870000000006</v>
      </c>
      <c r="K1164" s="5">
        <f t="shared" si="283"/>
        <v>1597.2701812191106</v>
      </c>
      <c r="L1164" s="5">
        <f t="shared" si="278"/>
        <v>0.47090636480831799</v>
      </c>
      <c r="M1164" s="5">
        <f t="shared" si="281"/>
        <v>0</v>
      </c>
      <c r="N1164" s="5">
        <f t="shared" si="282"/>
        <v>6360.9</v>
      </c>
    </row>
    <row r="1165" spans="1:14" s="13" customFormat="1" ht="31.5" x14ac:dyDescent="0.25">
      <c r="A1165" s="38">
        <v>18</v>
      </c>
      <c r="B1165" s="34" t="s">
        <v>984</v>
      </c>
      <c r="C1165" s="18" t="s">
        <v>421</v>
      </c>
      <c r="D1165" s="32" t="s">
        <v>1299</v>
      </c>
      <c r="E1165" s="76">
        <v>6.8170000000000002</v>
      </c>
      <c r="F1165" s="76">
        <v>3.1E-2</v>
      </c>
      <c r="G1165" s="5">
        <f t="shared" si="279"/>
        <v>6.8479999999999999</v>
      </c>
      <c r="H1165" s="5">
        <v>40375.444000000003</v>
      </c>
      <c r="I1165" s="5"/>
      <c r="J1165" s="5">
        <f t="shared" si="280"/>
        <v>40375.444000000003</v>
      </c>
      <c r="K1165" s="5">
        <f t="shared" si="283"/>
        <v>5895.9468457943931</v>
      </c>
      <c r="L1165" s="5">
        <f t="shared" si="278"/>
        <v>1.7382399852584738</v>
      </c>
      <c r="M1165" s="5">
        <f t="shared" si="281"/>
        <v>7412.4</v>
      </c>
      <c r="N1165" s="5">
        <f t="shared" si="282"/>
        <v>0</v>
      </c>
    </row>
    <row r="1166" spans="1:14" s="13" customFormat="1" ht="31.5" x14ac:dyDescent="0.25">
      <c r="A1166" s="38">
        <v>18</v>
      </c>
      <c r="B1166" s="34" t="s">
        <v>984</v>
      </c>
      <c r="C1166" s="18" t="s">
        <v>422</v>
      </c>
      <c r="D1166" s="32" t="s">
        <v>2319</v>
      </c>
      <c r="E1166" s="76">
        <v>4.2539999999999996</v>
      </c>
      <c r="F1166" s="76">
        <v>3.5000000000000003E-2</v>
      </c>
      <c r="G1166" s="5">
        <f t="shared" si="279"/>
        <v>4.2889999999999997</v>
      </c>
      <c r="H1166" s="5">
        <v>10782.216</v>
      </c>
      <c r="I1166" s="5"/>
      <c r="J1166" s="5">
        <f t="shared" si="280"/>
        <v>10782.216</v>
      </c>
      <c r="K1166" s="5">
        <f t="shared" si="283"/>
        <v>2513.9230589881095</v>
      </c>
      <c r="L1166" s="5">
        <f t="shared" si="278"/>
        <v>0.74115348989508423</v>
      </c>
      <c r="M1166" s="5">
        <f t="shared" si="281"/>
        <v>0</v>
      </c>
      <c r="N1166" s="5">
        <f t="shared" si="282"/>
        <v>1848.7</v>
      </c>
    </row>
    <row r="1167" spans="1:14" s="13" customFormat="1" ht="31.5" x14ac:dyDescent="0.25">
      <c r="A1167" s="38">
        <v>18</v>
      </c>
      <c r="B1167" s="34" t="s">
        <v>984</v>
      </c>
      <c r="C1167" s="18" t="s">
        <v>423</v>
      </c>
      <c r="D1167" s="32" t="s">
        <v>2320</v>
      </c>
      <c r="E1167" s="76">
        <v>5.8949999999999996</v>
      </c>
      <c r="F1167" s="76">
        <v>3.6999999999999998E-2</v>
      </c>
      <c r="G1167" s="5">
        <f t="shared" si="279"/>
        <v>5.9319999999999995</v>
      </c>
      <c r="H1167" s="5">
        <v>9403.5939999999991</v>
      </c>
      <c r="I1167" s="5"/>
      <c r="J1167" s="5">
        <f t="shared" si="280"/>
        <v>9403.5939999999991</v>
      </c>
      <c r="K1167" s="5">
        <f t="shared" si="283"/>
        <v>1585.2316250842887</v>
      </c>
      <c r="L1167" s="5">
        <f t="shared" si="278"/>
        <v>0.4673571639444648</v>
      </c>
      <c r="M1167" s="5">
        <f t="shared" si="281"/>
        <v>0</v>
      </c>
      <c r="N1167" s="5">
        <f t="shared" si="282"/>
        <v>6964.1</v>
      </c>
    </row>
    <row r="1168" spans="1:14" s="13" customFormat="1" ht="31.5" x14ac:dyDescent="0.25">
      <c r="A1168" s="38">
        <v>18</v>
      </c>
      <c r="B1168" s="34" t="s">
        <v>984</v>
      </c>
      <c r="C1168" s="18" t="s">
        <v>494</v>
      </c>
      <c r="D1168" s="32" t="s">
        <v>1445</v>
      </c>
      <c r="E1168" s="76">
        <v>4.6360000000000001</v>
      </c>
      <c r="F1168" s="76">
        <v>7.0999999999999994E-2</v>
      </c>
      <c r="G1168" s="5">
        <f t="shared" si="279"/>
        <v>4.7069999999999999</v>
      </c>
      <c r="H1168" s="5">
        <v>12180.112999999999</v>
      </c>
      <c r="I1168" s="5"/>
      <c r="J1168" s="5">
        <f t="shared" si="280"/>
        <v>12180.112999999999</v>
      </c>
      <c r="K1168" s="5">
        <f t="shared" si="283"/>
        <v>2587.6594433821965</v>
      </c>
      <c r="L1168" s="5">
        <f t="shared" si="278"/>
        <v>0.7628924124251637</v>
      </c>
      <c r="M1168" s="5">
        <f t="shared" si="281"/>
        <v>0</v>
      </c>
      <c r="N1168" s="5">
        <f t="shared" si="282"/>
        <v>1751.2</v>
      </c>
    </row>
    <row r="1169" spans="1:14" s="13" customFormat="1" ht="15.75" x14ac:dyDescent="0.25">
      <c r="A1169" s="38">
        <v>18</v>
      </c>
      <c r="B1169" s="34" t="s">
        <v>983</v>
      </c>
      <c r="C1169" s="18" t="s">
        <v>495</v>
      </c>
      <c r="D1169" s="32" t="s">
        <v>2321</v>
      </c>
      <c r="E1169" s="76">
        <v>35.732999999999997</v>
      </c>
      <c r="F1169" s="76">
        <v>0.25900000000000001</v>
      </c>
      <c r="G1169" s="5">
        <f t="shared" si="279"/>
        <v>35.991999999999997</v>
      </c>
      <c r="H1169" s="5">
        <v>83136.737349999996</v>
      </c>
      <c r="I1169" s="5">
        <f>(29.084)*0.6</f>
        <v>17.450399999999998</v>
      </c>
      <c r="J1169" s="5">
        <f t="shared" si="280"/>
        <v>83154.187749999997</v>
      </c>
      <c r="K1169" s="5">
        <f t="shared" si="283"/>
        <v>2310.3519601578128</v>
      </c>
      <c r="L1169" s="5">
        <f t="shared" si="278"/>
        <v>0.68113676432330728</v>
      </c>
      <c r="M1169" s="5">
        <f t="shared" si="281"/>
        <v>0</v>
      </c>
      <c r="N1169" s="5">
        <f t="shared" si="282"/>
        <v>21375.3</v>
      </c>
    </row>
    <row r="1170" spans="1:14" s="13" customFormat="1" ht="31.5" x14ac:dyDescent="0.25">
      <c r="A1170" s="38">
        <v>18</v>
      </c>
      <c r="B1170" s="34" t="s">
        <v>985</v>
      </c>
      <c r="C1170" s="18" t="s">
        <v>496</v>
      </c>
      <c r="D1170" s="32" t="s">
        <v>3091</v>
      </c>
      <c r="E1170" s="76">
        <v>20.76</v>
      </c>
      <c r="F1170" s="76">
        <v>0.255</v>
      </c>
      <c r="G1170" s="5">
        <f t="shared" si="279"/>
        <v>21.015000000000001</v>
      </c>
      <c r="H1170" s="5">
        <v>79719.812999999995</v>
      </c>
      <c r="I1170" s="5">
        <f>(34.499-31992.55)*0.6</f>
        <v>-19174.830599999998</v>
      </c>
      <c r="J1170" s="5">
        <f t="shared" si="280"/>
        <v>60544.982399999994</v>
      </c>
      <c r="K1170" s="5">
        <f t="shared" si="283"/>
        <v>2881.0365167737327</v>
      </c>
      <c r="L1170" s="5">
        <f t="shared" si="278"/>
        <v>0.84938568874956533</v>
      </c>
      <c r="M1170" s="5">
        <f t="shared" si="281"/>
        <v>0</v>
      </c>
      <c r="N1170" s="5">
        <f t="shared" si="282"/>
        <v>2886.3</v>
      </c>
    </row>
    <row r="1171" spans="1:14" s="13" customFormat="1" ht="31.5" x14ac:dyDescent="0.25">
      <c r="A1171" s="38">
        <v>18</v>
      </c>
      <c r="B1171" s="34" t="s">
        <v>984</v>
      </c>
      <c r="C1171" s="18" t="s">
        <v>497</v>
      </c>
      <c r="D1171" s="32" t="s">
        <v>2323</v>
      </c>
      <c r="E1171" s="76">
        <v>4.4109999999999996</v>
      </c>
      <c r="F1171" s="76">
        <v>2.5999999999999999E-2</v>
      </c>
      <c r="G1171" s="5">
        <f t="shared" si="279"/>
        <v>4.4369999999999994</v>
      </c>
      <c r="H1171" s="5">
        <v>14437.735000000001</v>
      </c>
      <c r="I1171" s="5"/>
      <c r="J1171" s="5">
        <f t="shared" si="280"/>
        <v>14437.735000000001</v>
      </c>
      <c r="K1171" s="5">
        <f t="shared" si="283"/>
        <v>3253.940725715574</v>
      </c>
      <c r="L1171" s="5">
        <f t="shared" si="278"/>
        <v>0.95932511385076868</v>
      </c>
      <c r="M1171" s="5">
        <f t="shared" si="281"/>
        <v>0</v>
      </c>
      <c r="N1171" s="5">
        <f t="shared" si="282"/>
        <v>0</v>
      </c>
    </row>
    <row r="1172" spans="1:14" s="13" customFormat="1" ht="15.75" x14ac:dyDescent="0.25">
      <c r="A1172" s="38">
        <v>18</v>
      </c>
      <c r="B1172" s="34" t="s">
        <v>983</v>
      </c>
      <c r="C1172" s="18" t="s">
        <v>612</v>
      </c>
      <c r="D1172" s="32" t="s">
        <v>2324</v>
      </c>
      <c r="E1172" s="76">
        <v>20.172000000000001</v>
      </c>
      <c r="F1172" s="76">
        <v>0.23</v>
      </c>
      <c r="G1172" s="5">
        <f t="shared" si="279"/>
        <v>20.402000000000001</v>
      </c>
      <c r="H1172" s="5">
        <v>50444.597999999904</v>
      </c>
      <c r="I1172" s="5">
        <f>(28.884)*0.6</f>
        <v>17.330400000000001</v>
      </c>
      <c r="J1172" s="5">
        <f t="shared" si="280"/>
        <v>50461.928399999902</v>
      </c>
      <c r="K1172" s="5">
        <f t="shared" si="283"/>
        <v>2473.3814527987402</v>
      </c>
      <c r="L1172" s="5">
        <f t="shared" si="278"/>
        <v>0.72920103462571029</v>
      </c>
      <c r="M1172" s="5">
        <f t="shared" si="281"/>
        <v>0</v>
      </c>
      <c r="N1172" s="5">
        <f t="shared" si="282"/>
        <v>9455.7000000000007</v>
      </c>
    </row>
    <row r="1173" spans="1:14" s="13" customFormat="1" ht="31.5" x14ac:dyDescent="0.25">
      <c r="A1173" s="38">
        <v>18</v>
      </c>
      <c r="B1173" s="34" t="s">
        <v>985</v>
      </c>
      <c r="C1173" s="18" t="s">
        <v>613</v>
      </c>
      <c r="D1173" s="32" t="s">
        <v>2325</v>
      </c>
      <c r="E1173" s="76">
        <v>10.000999999999999</v>
      </c>
      <c r="F1173" s="76">
        <v>7.0000000000000007E-2</v>
      </c>
      <c r="G1173" s="5">
        <f t="shared" si="279"/>
        <v>10.071</v>
      </c>
      <c r="H1173" s="5">
        <v>37549.735999999997</v>
      </c>
      <c r="I1173" s="5"/>
      <c r="J1173" s="5">
        <f t="shared" si="280"/>
        <v>37549.735999999997</v>
      </c>
      <c r="K1173" s="5">
        <f t="shared" si="283"/>
        <v>3728.5012411875682</v>
      </c>
      <c r="L1173" s="5">
        <f t="shared" si="278"/>
        <v>1.0992347984176669</v>
      </c>
      <c r="M1173" s="5">
        <f t="shared" si="281"/>
        <v>0</v>
      </c>
      <c r="N1173" s="5">
        <f t="shared" si="282"/>
        <v>0</v>
      </c>
    </row>
    <row r="1174" spans="1:14" s="13" customFormat="1" ht="31.5" x14ac:dyDescent="0.25">
      <c r="A1174" s="38">
        <v>18</v>
      </c>
      <c r="B1174" s="34" t="s">
        <v>984</v>
      </c>
      <c r="C1174" s="18" t="s">
        <v>614</v>
      </c>
      <c r="D1174" s="32" t="s">
        <v>2326</v>
      </c>
      <c r="E1174" s="76">
        <v>3.7240000000000002</v>
      </c>
      <c r="F1174" s="76">
        <v>3.3000000000000002E-2</v>
      </c>
      <c r="G1174" s="5">
        <f t="shared" si="279"/>
        <v>3.7570000000000001</v>
      </c>
      <c r="H1174" s="5">
        <v>7242.076</v>
      </c>
      <c r="I1174" s="5"/>
      <c r="J1174" s="5">
        <f t="shared" si="280"/>
        <v>7242.076</v>
      </c>
      <c r="K1174" s="5">
        <f t="shared" si="283"/>
        <v>1927.6220388607931</v>
      </c>
      <c r="L1174" s="5">
        <f t="shared" si="278"/>
        <v>0.56830052781146467</v>
      </c>
      <c r="M1174" s="5">
        <f t="shared" si="281"/>
        <v>0</v>
      </c>
      <c r="N1174" s="5">
        <f t="shared" si="282"/>
        <v>3381.6</v>
      </c>
    </row>
    <row r="1175" spans="1:14" s="13" customFormat="1" ht="31.5" x14ac:dyDescent="0.25">
      <c r="A1175" s="38">
        <v>18</v>
      </c>
      <c r="B1175" s="34" t="s">
        <v>984</v>
      </c>
      <c r="C1175" s="18" t="s">
        <v>615</v>
      </c>
      <c r="D1175" s="32" t="s">
        <v>2327</v>
      </c>
      <c r="E1175" s="76">
        <v>3.06</v>
      </c>
      <c r="F1175" s="76">
        <v>1.4999999999999999E-2</v>
      </c>
      <c r="G1175" s="5">
        <f t="shared" si="279"/>
        <v>3.0750000000000002</v>
      </c>
      <c r="H1175" s="5">
        <v>26145.981</v>
      </c>
      <c r="I1175" s="5"/>
      <c r="J1175" s="5">
        <f t="shared" si="280"/>
        <v>26145.981</v>
      </c>
      <c r="K1175" s="5">
        <f t="shared" si="283"/>
        <v>8502.758048780488</v>
      </c>
      <c r="L1175" s="5">
        <f t="shared" si="278"/>
        <v>2.5067787094978797</v>
      </c>
      <c r="M1175" s="5">
        <f t="shared" si="281"/>
        <v>7336.4</v>
      </c>
      <c r="N1175" s="5">
        <f t="shared" si="282"/>
        <v>0</v>
      </c>
    </row>
    <row r="1176" spans="1:14" s="13" customFormat="1" ht="31.5" x14ac:dyDescent="0.25">
      <c r="A1176" s="38">
        <v>18</v>
      </c>
      <c r="B1176" s="34" t="s">
        <v>984</v>
      </c>
      <c r="C1176" s="18" t="s">
        <v>616</v>
      </c>
      <c r="D1176" s="32" t="s">
        <v>2328</v>
      </c>
      <c r="E1176" s="76">
        <v>9.8059999999999992</v>
      </c>
      <c r="F1176" s="76">
        <v>0.114</v>
      </c>
      <c r="G1176" s="5">
        <f t="shared" si="279"/>
        <v>9.92</v>
      </c>
      <c r="H1176" s="5">
        <v>37496.983</v>
      </c>
      <c r="I1176" s="5"/>
      <c r="J1176" s="5">
        <f t="shared" si="280"/>
        <v>37496.983</v>
      </c>
      <c r="K1176" s="5">
        <f t="shared" si="283"/>
        <v>3779.9378024193547</v>
      </c>
      <c r="L1176" s="5">
        <f t="shared" si="278"/>
        <v>1.1143992986711018</v>
      </c>
      <c r="M1176" s="5">
        <f t="shared" si="281"/>
        <v>242.3</v>
      </c>
      <c r="N1176" s="5">
        <f t="shared" si="282"/>
        <v>0</v>
      </c>
    </row>
    <row r="1177" spans="1:14" s="13" customFormat="1" ht="31.5" x14ac:dyDescent="0.25">
      <c r="A1177" s="38">
        <v>18</v>
      </c>
      <c r="B1177" s="34" t="s">
        <v>984</v>
      </c>
      <c r="C1177" s="18" t="s">
        <v>617</v>
      </c>
      <c r="D1177" s="32" t="s">
        <v>2329</v>
      </c>
      <c r="E1177" s="76">
        <v>5.0309999999999997</v>
      </c>
      <c r="F1177" s="76">
        <v>5.0999999999999997E-2</v>
      </c>
      <c r="G1177" s="5">
        <f t="shared" si="279"/>
        <v>5.0819999999999999</v>
      </c>
      <c r="H1177" s="5">
        <v>11471.245999999999</v>
      </c>
      <c r="I1177" s="5"/>
      <c r="J1177" s="5">
        <f t="shared" si="280"/>
        <v>11471.245999999999</v>
      </c>
      <c r="K1177" s="5">
        <f t="shared" si="283"/>
        <v>2257.2306178669814</v>
      </c>
      <c r="L1177" s="5">
        <f t="shared" si="278"/>
        <v>0.6654755577935384</v>
      </c>
      <c r="M1177" s="5">
        <f t="shared" si="281"/>
        <v>0</v>
      </c>
      <c r="N1177" s="5">
        <f t="shared" si="282"/>
        <v>3234.1</v>
      </c>
    </row>
    <row r="1178" spans="1:14" s="13" customFormat="1" ht="31.5" x14ac:dyDescent="0.25">
      <c r="A1178" s="38">
        <v>18</v>
      </c>
      <c r="B1178" s="34" t="s">
        <v>985</v>
      </c>
      <c r="C1178" s="18" t="s">
        <v>618</v>
      </c>
      <c r="D1178" s="32" t="s">
        <v>2330</v>
      </c>
      <c r="E1178" s="76">
        <v>10.939</v>
      </c>
      <c r="F1178" s="76">
        <v>4.1000000000000002E-2</v>
      </c>
      <c r="G1178" s="5">
        <f t="shared" si="279"/>
        <v>10.98</v>
      </c>
      <c r="H1178" s="5">
        <v>56599.413</v>
      </c>
      <c r="I1178" s="5">
        <f>(-1735.7-2264.1-2313.38-4158.97-2246.22-1631.09-4857.75+1660.365+112.332)*0.6</f>
        <v>-10460.707799999998</v>
      </c>
      <c r="J1178" s="5">
        <f t="shared" si="280"/>
        <v>46138.705200000004</v>
      </c>
      <c r="K1178" s="5">
        <f t="shared" si="283"/>
        <v>4202.0678688524595</v>
      </c>
      <c r="L1178" s="5">
        <f t="shared" si="278"/>
        <v>1.2388514654977474</v>
      </c>
      <c r="M1178" s="5">
        <f t="shared" si="281"/>
        <v>2585.6</v>
      </c>
      <c r="N1178" s="5">
        <f t="shared" si="282"/>
        <v>0</v>
      </c>
    </row>
    <row r="1179" spans="1:14" s="13" customFormat="1" ht="31.5" x14ac:dyDescent="0.25">
      <c r="A1179" s="38">
        <v>18</v>
      </c>
      <c r="B1179" s="34" t="s">
        <v>983</v>
      </c>
      <c r="C1179" s="18" t="s">
        <v>619</v>
      </c>
      <c r="D1179" s="32" t="s">
        <v>2331</v>
      </c>
      <c r="E1179" s="76">
        <v>28.565000000000001</v>
      </c>
      <c r="F1179" s="76">
        <v>0.26900000000000002</v>
      </c>
      <c r="G1179" s="5">
        <f t="shared" si="279"/>
        <v>28.834</v>
      </c>
      <c r="H1179" s="5">
        <v>99517.494000000006</v>
      </c>
      <c r="I1179" s="5">
        <f>(29.518+2360.536)*0.6</f>
        <v>1434.0324000000001</v>
      </c>
      <c r="J1179" s="5">
        <f t="shared" si="280"/>
        <v>100951.5264</v>
      </c>
      <c r="K1179" s="5">
        <f t="shared" si="283"/>
        <v>3501.1280571547481</v>
      </c>
      <c r="L1179" s="5">
        <f t="shared" si="278"/>
        <v>1.0322007544551948</v>
      </c>
      <c r="M1179" s="5">
        <f t="shared" si="281"/>
        <v>0</v>
      </c>
      <c r="N1179" s="5">
        <f t="shared" si="282"/>
        <v>0</v>
      </c>
    </row>
    <row r="1180" spans="1:14" s="13" customFormat="1" ht="31.5" x14ac:dyDescent="0.25">
      <c r="A1180" s="38">
        <v>18</v>
      </c>
      <c r="B1180" s="34" t="s">
        <v>984</v>
      </c>
      <c r="C1180" s="18" t="s">
        <v>620</v>
      </c>
      <c r="D1180" s="32" t="s">
        <v>2332</v>
      </c>
      <c r="E1180" s="76">
        <v>6.1360000000000001</v>
      </c>
      <c r="F1180" s="76">
        <v>2.5999999999999999E-2</v>
      </c>
      <c r="G1180" s="5">
        <f t="shared" si="279"/>
        <v>6.1619999999999999</v>
      </c>
      <c r="H1180" s="5">
        <v>10974.857</v>
      </c>
      <c r="I1180" s="5"/>
      <c r="J1180" s="5">
        <f t="shared" si="280"/>
        <v>10974.857</v>
      </c>
      <c r="K1180" s="5">
        <f t="shared" si="283"/>
        <v>1781.0543654657579</v>
      </c>
      <c r="L1180" s="5">
        <f t="shared" si="278"/>
        <v>0.52508952250477958</v>
      </c>
      <c r="M1180" s="5">
        <f t="shared" si="281"/>
        <v>0</v>
      </c>
      <c r="N1180" s="5">
        <f t="shared" si="282"/>
        <v>6268.8</v>
      </c>
    </row>
    <row r="1181" spans="1:14" s="13" customFormat="1" ht="31.5" x14ac:dyDescent="0.25">
      <c r="A1181" s="38">
        <v>18</v>
      </c>
      <c r="B1181" s="34" t="s">
        <v>985</v>
      </c>
      <c r="C1181" s="18" t="s">
        <v>715</v>
      </c>
      <c r="D1181" s="32" t="s">
        <v>2333</v>
      </c>
      <c r="E1181" s="76">
        <v>5.6239999999999997</v>
      </c>
      <c r="F1181" s="76">
        <v>3.6999999999999998E-2</v>
      </c>
      <c r="G1181" s="5">
        <f t="shared" si="279"/>
        <v>5.6609999999999996</v>
      </c>
      <c r="H1181" s="5">
        <v>10528.416999999999</v>
      </c>
      <c r="I1181" s="5"/>
      <c r="J1181" s="5">
        <f t="shared" si="280"/>
        <v>10528.416999999999</v>
      </c>
      <c r="K1181" s="5">
        <f t="shared" si="283"/>
        <v>1859.8157569334041</v>
      </c>
      <c r="L1181" s="5">
        <f t="shared" si="278"/>
        <v>0.54830991500904958</v>
      </c>
      <c r="M1181" s="5">
        <f t="shared" si="281"/>
        <v>0</v>
      </c>
      <c r="N1181" s="5">
        <f t="shared" si="282"/>
        <v>5402.4</v>
      </c>
    </row>
    <row r="1182" spans="1:14" s="13" customFormat="1" ht="31.5" x14ac:dyDescent="0.25">
      <c r="A1182" s="38">
        <v>18</v>
      </c>
      <c r="B1182" s="34" t="s">
        <v>984</v>
      </c>
      <c r="C1182" s="18">
        <v>18529000000</v>
      </c>
      <c r="D1182" s="32" t="s">
        <v>2334</v>
      </c>
      <c r="E1182" s="76">
        <v>8.5820000000000007</v>
      </c>
      <c r="F1182" s="76">
        <v>9.9000000000000005E-2</v>
      </c>
      <c r="G1182" s="5">
        <f t="shared" si="279"/>
        <v>8.6810000000000009</v>
      </c>
      <c r="H1182" s="5">
        <v>29343.043000000001</v>
      </c>
      <c r="I1182" s="5"/>
      <c r="J1182" s="5">
        <f t="shared" si="280"/>
        <v>29343.043000000001</v>
      </c>
      <c r="K1182" s="5">
        <f t="shared" si="283"/>
        <v>3380.1454901509042</v>
      </c>
      <c r="L1182" s="5">
        <f t="shared" si="278"/>
        <v>0.99653273691950406</v>
      </c>
      <c r="M1182" s="5">
        <f t="shared" si="281"/>
        <v>0</v>
      </c>
      <c r="N1182" s="5">
        <f t="shared" si="282"/>
        <v>0</v>
      </c>
    </row>
    <row r="1183" spans="1:14" s="13" customFormat="1" ht="31.5" x14ac:dyDescent="0.25">
      <c r="A1183" s="38">
        <v>18</v>
      </c>
      <c r="B1183" s="34" t="s">
        <v>986</v>
      </c>
      <c r="C1183" s="18">
        <v>18530000000</v>
      </c>
      <c r="D1183" s="32" t="s">
        <v>3092</v>
      </c>
      <c r="E1183" s="76">
        <v>92.251999999999995</v>
      </c>
      <c r="F1183" s="76">
        <v>0.40899999999999997</v>
      </c>
      <c r="G1183" s="5">
        <f t="shared" si="279"/>
        <v>92.661000000000001</v>
      </c>
      <c r="H1183" s="5">
        <v>220339.02499999999</v>
      </c>
      <c r="I1183" s="5">
        <f>(76.275)*0.6</f>
        <v>45.765000000000001</v>
      </c>
      <c r="J1183" s="5">
        <f t="shared" si="280"/>
        <v>220384.79</v>
      </c>
      <c r="K1183" s="5">
        <f t="shared" si="283"/>
        <v>2378.3985711356449</v>
      </c>
      <c r="L1183" s="5">
        <f t="shared" si="278"/>
        <v>0.70119823081148747</v>
      </c>
      <c r="M1183" s="5">
        <f t="shared" si="281"/>
        <v>0</v>
      </c>
      <c r="N1183" s="5">
        <f t="shared" si="282"/>
        <v>49986.3</v>
      </c>
    </row>
    <row r="1184" spans="1:14" s="13" customFormat="1" ht="15.75" x14ac:dyDescent="0.25">
      <c r="A1184" s="38">
        <v>18</v>
      </c>
      <c r="B1184" s="34" t="s">
        <v>986</v>
      </c>
      <c r="C1184" s="18">
        <v>18531000000</v>
      </c>
      <c r="D1184" s="32" t="s">
        <v>3093</v>
      </c>
      <c r="E1184" s="76">
        <v>270.43900000000002</v>
      </c>
      <c r="F1184" s="76">
        <v>4.5199999999999996</v>
      </c>
      <c r="G1184" s="5">
        <f t="shared" si="279"/>
        <v>274.959</v>
      </c>
      <c r="H1184" s="5">
        <v>1292679.0060000001</v>
      </c>
      <c r="I1184" s="5">
        <f>(-464.71345+5312.346+16747.54+697-32.54841-37.52-12.836-40.219-85.652-34.499-28.884-29.084-36.346-28.437-56.52-41.945-69.327-13.177-29.518-76.275-28.604+1735.7+2264.1+2313.38+4158.97+2246.22+1631.09+3345.555+19210.869+3322.91+10034.761+7785.82+6780.836+5229.17+4638.594+3.99762+31992.55-2076.932-367.1505-64.328-10.44-19.949-66.728+1561.666+1341.232-2343.662-1297.182-1356.061-1660.365-112.332)*0.6</f>
        <v>73099.843355999998</v>
      </c>
      <c r="J1184" s="5">
        <f t="shared" si="280"/>
        <v>1365778.8493560001</v>
      </c>
      <c r="K1184" s="5">
        <f t="shared" si="283"/>
        <v>4967.2091088344087</v>
      </c>
      <c r="L1184" s="5">
        <f t="shared" si="278"/>
        <v>1.4644300082648973</v>
      </c>
      <c r="M1184" s="5">
        <f t="shared" si="281"/>
        <v>169940.1</v>
      </c>
      <c r="N1184" s="5">
        <f t="shared" si="282"/>
        <v>0</v>
      </c>
    </row>
    <row r="1185" spans="1:14" s="12" customFormat="1" ht="31.5" x14ac:dyDescent="0.25">
      <c r="A1185" s="38">
        <v>18</v>
      </c>
      <c r="B1185" s="34" t="s">
        <v>985</v>
      </c>
      <c r="C1185" s="18">
        <v>18532000000</v>
      </c>
      <c r="D1185" s="32" t="s">
        <v>3094</v>
      </c>
      <c r="E1185" s="76">
        <v>12.734</v>
      </c>
      <c r="F1185" s="76">
        <v>8.3000000000000004E-2</v>
      </c>
      <c r="G1185" s="5">
        <f t="shared" si="279"/>
        <v>12.817</v>
      </c>
      <c r="H1185" s="5">
        <v>56352.025999999998</v>
      </c>
      <c r="I1185" s="5"/>
      <c r="J1185" s="5">
        <f t="shared" si="280"/>
        <v>56352.025999999998</v>
      </c>
      <c r="K1185" s="5">
        <f t="shared" si="283"/>
        <v>4396.6627135835215</v>
      </c>
      <c r="L1185" s="5">
        <f t="shared" ref="L1185:L1205" si="284">K1185/$K$1659</f>
        <v>1.2962218165004831</v>
      </c>
      <c r="M1185" s="5">
        <f t="shared" si="281"/>
        <v>4265.3</v>
      </c>
      <c r="N1185" s="5">
        <f t="shared" si="282"/>
        <v>0</v>
      </c>
    </row>
    <row r="1186" spans="1:14" ht="15.75" x14ac:dyDescent="0.25">
      <c r="A1186" s="38">
        <v>18</v>
      </c>
      <c r="B1186" s="34" t="s">
        <v>984</v>
      </c>
      <c r="C1186" s="18">
        <v>18533000000</v>
      </c>
      <c r="D1186" s="32" t="s">
        <v>3095</v>
      </c>
      <c r="E1186" s="76">
        <v>4.1449999999999996</v>
      </c>
      <c r="F1186" s="76">
        <v>2.1999999999999999E-2</v>
      </c>
      <c r="G1186" s="5">
        <f t="shared" si="279"/>
        <v>4.1669999999999998</v>
      </c>
      <c r="H1186" s="5">
        <v>13287.634</v>
      </c>
      <c r="I1186" s="5"/>
      <c r="J1186" s="5">
        <f t="shared" si="280"/>
        <v>13287.634</v>
      </c>
      <c r="K1186" s="5">
        <f t="shared" si="283"/>
        <v>3188.7770578353734</v>
      </c>
      <c r="L1186" s="5">
        <f t="shared" si="284"/>
        <v>0.94011359514851578</v>
      </c>
      <c r="M1186" s="5">
        <f t="shared" ref="M1186:M1204" si="285">ROUND(IF(L1186&lt;110%,0,(K1186-$K$1659*1.1)*0.5)*G1186,1)</f>
        <v>0</v>
      </c>
      <c r="N1186" s="5">
        <f t="shared" ref="N1186:N1204" si="286">ROUND(IF(L1186&gt;90%,0,(-K1186+$K$1659*0.9)*0.8)*G1186,1)</f>
        <v>0</v>
      </c>
    </row>
    <row r="1187" spans="1:14" ht="31.5" x14ac:dyDescent="0.25">
      <c r="A1187" s="38">
        <v>18</v>
      </c>
      <c r="B1187" s="34" t="s">
        <v>986</v>
      </c>
      <c r="C1187" s="18">
        <v>18534000000</v>
      </c>
      <c r="D1187" s="32" t="s">
        <v>3096</v>
      </c>
      <c r="E1187" s="76">
        <v>88.757999999999996</v>
      </c>
      <c r="F1187" s="76">
        <v>0.19400000000000001</v>
      </c>
      <c r="G1187" s="5">
        <f t="shared" si="279"/>
        <v>88.951999999999998</v>
      </c>
      <c r="H1187" s="5">
        <v>266651.80499999999</v>
      </c>
      <c r="I1187" s="5">
        <f>(85.652-2059.967-1683.221-1578.892-1341.232+2343.662)*0.6</f>
        <v>-2540.3987999999995</v>
      </c>
      <c r="J1187" s="5">
        <f t="shared" si="280"/>
        <v>264111.40619999997</v>
      </c>
      <c r="K1187" s="5">
        <f t="shared" si="283"/>
        <v>2969.1452266390861</v>
      </c>
      <c r="L1187" s="5">
        <f t="shared" si="284"/>
        <v>0.87536185280652934</v>
      </c>
      <c r="M1187" s="5">
        <f t="shared" si="285"/>
        <v>0</v>
      </c>
      <c r="N1187" s="5">
        <f t="shared" si="286"/>
        <v>5947</v>
      </c>
    </row>
    <row r="1188" spans="1:14" ht="15.75" x14ac:dyDescent="0.25">
      <c r="A1188" s="38">
        <v>18</v>
      </c>
      <c r="B1188" s="34" t="s">
        <v>983</v>
      </c>
      <c r="C1188" s="18">
        <v>18535000000</v>
      </c>
      <c r="D1188" s="32" t="s">
        <v>3097</v>
      </c>
      <c r="E1188" s="76">
        <v>22.966000000000001</v>
      </c>
      <c r="F1188" s="76">
        <v>0.183</v>
      </c>
      <c r="G1188" s="5">
        <f t="shared" si="279"/>
        <v>23.149000000000001</v>
      </c>
      <c r="H1188" s="5">
        <v>58606.587</v>
      </c>
      <c r="I1188" s="5">
        <f>(37.52+2879.31)*0.6</f>
        <v>1750.098</v>
      </c>
      <c r="J1188" s="5">
        <f t="shared" si="280"/>
        <v>60356.684999999998</v>
      </c>
      <c r="K1188" s="5">
        <f t="shared" si="283"/>
        <v>2607.3128428873815</v>
      </c>
      <c r="L1188" s="5">
        <f t="shared" si="284"/>
        <v>0.76868661745442712</v>
      </c>
      <c r="M1188" s="5">
        <f t="shared" si="285"/>
        <v>0</v>
      </c>
      <c r="N1188" s="5">
        <f t="shared" si="286"/>
        <v>8248.5</v>
      </c>
    </row>
    <row r="1189" spans="1:14" ht="15.75" x14ac:dyDescent="0.25">
      <c r="A1189" s="38">
        <v>18</v>
      </c>
      <c r="B1189" s="34" t="s">
        <v>984</v>
      </c>
      <c r="C1189" s="18">
        <v>18536000000</v>
      </c>
      <c r="D1189" s="32" t="s">
        <v>3098</v>
      </c>
      <c r="E1189" s="76">
        <v>4.6920000000000002</v>
      </c>
      <c r="F1189" s="76">
        <v>3.5999999999999997E-2</v>
      </c>
      <c r="G1189" s="5">
        <f t="shared" si="279"/>
        <v>4.7279999999999998</v>
      </c>
      <c r="H1189" s="5">
        <v>14593.142</v>
      </c>
      <c r="I1189" s="5"/>
      <c r="J1189" s="5">
        <f t="shared" si="280"/>
        <v>14593.142</v>
      </c>
      <c r="K1189" s="5">
        <f t="shared" si="283"/>
        <v>3086.5359560067682</v>
      </c>
      <c r="L1189" s="5">
        <f t="shared" si="284"/>
        <v>0.90997092663681889</v>
      </c>
      <c r="M1189" s="5">
        <f t="shared" si="285"/>
        <v>0</v>
      </c>
      <c r="N1189" s="5">
        <f t="shared" si="286"/>
        <v>0</v>
      </c>
    </row>
    <row r="1190" spans="1:14" ht="15.75" x14ac:dyDescent="0.25">
      <c r="A1190" s="38">
        <v>18</v>
      </c>
      <c r="B1190" s="34" t="s">
        <v>986</v>
      </c>
      <c r="C1190" s="18">
        <v>18537000000</v>
      </c>
      <c r="D1190" s="32" t="s">
        <v>3099</v>
      </c>
      <c r="E1190" s="76">
        <v>48.220999999999997</v>
      </c>
      <c r="F1190" s="76">
        <v>0.505</v>
      </c>
      <c r="G1190" s="5">
        <f t="shared" si="279"/>
        <v>48.725999999999999</v>
      </c>
      <c r="H1190" s="5">
        <v>159181.31099999999</v>
      </c>
      <c r="I1190" s="5">
        <f>(56.52-1561.666+1297.182-2360.536)*0.6</f>
        <v>-1541.1</v>
      </c>
      <c r="J1190" s="5">
        <f t="shared" si="280"/>
        <v>157640.21099999998</v>
      </c>
      <c r="K1190" s="5">
        <f t="shared" si="283"/>
        <v>3235.2380864425559</v>
      </c>
      <c r="L1190" s="5">
        <f t="shared" si="284"/>
        <v>0.95381121145909176</v>
      </c>
      <c r="M1190" s="5">
        <f t="shared" si="285"/>
        <v>0</v>
      </c>
      <c r="N1190" s="5">
        <f t="shared" si="286"/>
        <v>0</v>
      </c>
    </row>
    <row r="1191" spans="1:14" ht="15.75" x14ac:dyDescent="0.25">
      <c r="A1191" s="38">
        <v>18</v>
      </c>
      <c r="B1191" s="34" t="s">
        <v>983</v>
      </c>
      <c r="C1191" s="18">
        <v>18538000000</v>
      </c>
      <c r="D1191" s="32" t="s">
        <v>3100</v>
      </c>
      <c r="E1191" s="76">
        <v>20.73</v>
      </c>
      <c r="F1191" s="76">
        <v>0.27300000000000002</v>
      </c>
      <c r="G1191" s="5">
        <f t="shared" si="279"/>
        <v>21.003</v>
      </c>
      <c r="H1191" s="5">
        <v>41546.966999999997</v>
      </c>
      <c r="I1191" s="5">
        <f>(41.945)*0.6</f>
        <v>25.166999999999998</v>
      </c>
      <c r="J1191" s="5">
        <f t="shared" si="280"/>
        <v>41572.133999999998</v>
      </c>
      <c r="K1191" s="5">
        <f t="shared" si="283"/>
        <v>1979.3426653335237</v>
      </c>
      <c r="L1191" s="5">
        <f t="shared" si="284"/>
        <v>0.58354877603162059</v>
      </c>
      <c r="M1191" s="5">
        <f t="shared" si="285"/>
        <v>0</v>
      </c>
      <c r="N1191" s="5">
        <f t="shared" si="286"/>
        <v>18035.2</v>
      </c>
    </row>
    <row r="1192" spans="1:14" ht="31.5" x14ac:dyDescent="0.25">
      <c r="A1192" s="38">
        <v>18</v>
      </c>
      <c r="B1192" s="34" t="s">
        <v>985</v>
      </c>
      <c r="C1192" s="18">
        <v>18539000000</v>
      </c>
      <c r="D1192" s="32" t="s">
        <v>2344</v>
      </c>
      <c r="E1192" s="86">
        <v>10.23</v>
      </c>
      <c r="F1192" s="86">
        <v>0.16400000000000001</v>
      </c>
      <c r="G1192" s="86">
        <f>F1192+E1192</f>
        <v>10.394</v>
      </c>
      <c r="H1192" s="86">
        <v>32651.814999999999</v>
      </c>
      <c r="I1192" s="5">
        <f>(12.836)*0.6</f>
        <v>7.7016</v>
      </c>
      <c r="J1192" s="5">
        <f t="shared" ref="J1192:J1204" si="287">H1192+I1192</f>
        <v>32659.516599999999</v>
      </c>
      <c r="K1192" s="5">
        <f t="shared" ref="K1192:K1204" si="288">J1192/G1192</f>
        <v>3142.1509139888394</v>
      </c>
      <c r="L1192" s="5">
        <f t="shared" si="284"/>
        <v>0.92636729964887599</v>
      </c>
      <c r="M1192" s="5">
        <f t="shared" si="285"/>
        <v>0</v>
      </c>
      <c r="N1192" s="5">
        <f t="shared" si="286"/>
        <v>0</v>
      </c>
    </row>
    <row r="1193" spans="1:14" ht="31.5" x14ac:dyDescent="0.25">
      <c r="A1193" s="38">
        <v>18</v>
      </c>
      <c r="B1193" s="34" t="s">
        <v>983</v>
      </c>
      <c r="C1193" s="18">
        <v>18540000000</v>
      </c>
      <c r="D1193" s="32" t="s">
        <v>2345</v>
      </c>
      <c r="E1193" s="86">
        <v>8.2780000000000005</v>
      </c>
      <c r="F1193" s="86">
        <v>4.4999999999999998E-2</v>
      </c>
      <c r="G1193" s="86">
        <f t="shared" si="279"/>
        <v>8.3230000000000004</v>
      </c>
      <c r="H1193" s="86">
        <v>43406.49</v>
      </c>
      <c r="I1193" s="86">
        <f>(-3345.555-19210.869-3322.91-10034.761-7785.82-6780.836-5229.17-4638.594+2059.967+1683.221+1578.892)*0.6</f>
        <v>-33015.861000000004</v>
      </c>
      <c r="J1193" s="5">
        <f t="shared" si="287"/>
        <v>10390.628999999994</v>
      </c>
      <c r="K1193" s="5">
        <f t="shared" si="288"/>
        <v>1248.4235251712114</v>
      </c>
      <c r="L1193" s="5">
        <f t="shared" si="284"/>
        <v>0.36805957494984071</v>
      </c>
      <c r="M1193" s="5">
        <f t="shared" si="285"/>
        <v>0</v>
      </c>
      <c r="N1193" s="5">
        <f t="shared" si="286"/>
        <v>12013.7</v>
      </c>
    </row>
    <row r="1194" spans="1:14" ht="15.75" x14ac:dyDescent="0.25">
      <c r="A1194" s="38">
        <v>18</v>
      </c>
      <c r="B1194" s="34" t="s">
        <v>986</v>
      </c>
      <c r="C1194" s="18">
        <v>18541000000</v>
      </c>
      <c r="D1194" s="32" t="s">
        <v>2346</v>
      </c>
      <c r="E1194" s="86">
        <v>38.552999999999997</v>
      </c>
      <c r="F1194" s="86">
        <v>0.254</v>
      </c>
      <c r="G1194" s="86">
        <f t="shared" ref="G1194:G1204" si="289">F1194+E1194</f>
        <v>38.806999999999995</v>
      </c>
      <c r="H1194" s="86">
        <v>98512.664999999994</v>
      </c>
      <c r="I1194" s="5">
        <f>(40.219-155.255-2103.762-152.724)*0.6</f>
        <v>-1422.9132000000002</v>
      </c>
      <c r="J1194" s="5">
        <f t="shared" si="287"/>
        <v>97089.751799999998</v>
      </c>
      <c r="K1194" s="5">
        <f t="shared" si="288"/>
        <v>2501.8618238977506</v>
      </c>
      <c r="L1194" s="5">
        <f t="shared" si="284"/>
        <v>0.73759760283334463</v>
      </c>
      <c r="M1194" s="5">
        <f t="shared" si="285"/>
        <v>0</v>
      </c>
      <c r="N1194" s="5">
        <f t="shared" si="286"/>
        <v>17101.599999999999</v>
      </c>
    </row>
    <row r="1195" spans="1:14" ht="31.5" x14ac:dyDescent="0.25">
      <c r="A1195" s="38">
        <v>18</v>
      </c>
      <c r="B1195" s="34" t="s">
        <v>985</v>
      </c>
      <c r="C1195" s="18">
        <v>18542000000</v>
      </c>
      <c r="D1195" s="32" t="s">
        <v>2347</v>
      </c>
      <c r="E1195" s="86">
        <v>5.5739999999999998</v>
      </c>
      <c r="F1195" s="86">
        <v>2.1000000000000001E-2</v>
      </c>
      <c r="G1195" s="86">
        <f t="shared" si="289"/>
        <v>5.5949999999999998</v>
      </c>
      <c r="H1195" s="86">
        <v>21833.903999999999</v>
      </c>
      <c r="I1195" s="86">
        <f>(152.724)*0.6</f>
        <v>91.634399999999985</v>
      </c>
      <c r="J1195" s="5">
        <f t="shared" si="287"/>
        <v>21925.538399999998</v>
      </c>
      <c r="K1195" s="5">
        <f t="shared" si="288"/>
        <v>3918.7736193029486</v>
      </c>
      <c r="L1195" s="5">
        <f t="shared" si="284"/>
        <v>1.1553308020589297</v>
      </c>
      <c r="M1195" s="5">
        <f t="shared" si="285"/>
        <v>525</v>
      </c>
      <c r="N1195" s="5">
        <f t="shared" si="286"/>
        <v>0</v>
      </c>
    </row>
    <row r="1196" spans="1:14" ht="15.75" x14ac:dyDescent="0.25">
      <c r="A1196" s="38">
        <v>18</v>
      </c>
      <c r="B1196" s="34" t="s">
        <v>986</v>
      </c>
      <c r="C1196" s="18">
        <v>18543000000</v>
      </c>
      <c r="D1196" s="32" t="s">
        <v>2348</v>
      </c>
      <c r="E1196" s="86">
        <v>42.110999999999997</v>
      </c>
      <c r="F1196" s="86">
        <v>0.39900000000000002</v>
      </c>
      <c r="G1196" s="86">
        <f t="shared" si="289"/>
        <v>42.51</v>
      </c>
      <c r="H1196" s="83">
        <v>102806.02899999999</v>
      </c>
      <c r="I1196" s="5">
        <f>(36.346-2879.31)*0.6</f>
        <v>-1705.7783999999999</v>
      </c>
      <c r="J1196" s="5">
        <f t="shared" si="287"/>
        <v>101100.2506</v>
      </c>
      <c r="K1196" s="5">
        <f t="shared" si="288"/>
        <v>2378.2698329804753</v>
      </c>
      <c r="L1196" s="5">
        <f t="shared" si="284"/>
        <v>0.70116027629547895</v>
      </c>
      <c r="M1196" s="5">
        <f t="shared" si="285"/>
        <v>0</v>
      </c>
      <c r="N1196" s="5">
        <f t="shared" si="286"/>
        <v>22936.5</v>
      </c>
    </row>
    <row r="1197" spans="1:14" ht="15.75" x14ac:dyDescent="0.25">
      <c r="A1197" s="38">
        <v>18</v>
      </c>
      <c r="B1197" s="34" t="s">
        <v>984</v>
      </c>
      <c r="C1197" s="18">
        <v>18544000000</v>
      </c>
      <c r="D1197" s="32" t="s">
        <v>2349</v>
      </c>
      <c r="E1197" s="86">
        <v>13.401999999999999</v>
      </c>
      <c r="F1197" s="86">
        <v>9.2999999999999999E-2</v>
      </c>
      <c r="G1197" s="86">
        <f t="shared" si="289"/>
        <v>13.494999999999999</v>
      </c>
      <c r="H1197" s="86">
        <v>34819.446000000004</v>
      </c>
      <c r="I1197" s="86"/>
      <c r="J1197" s="5">
        <f t="shared" si="287"/>
        <v>34819.446000000004</v>
      </c>
      <c r="K1197" s="5">
        <f t="shared" si="288"/>
        <v>2580.1738421637647</v>
      </c>
      <c r="L1197" s="5">
        <f t="shared" si="284"/>
        <v>0.76068551136382545</v>
      </c>
      <c r="M1197" s="5">
        <f t="shared" si="285"/>
        <v>0</v>
      </c>
      <c r="N1197" s="5">
        <f t="shared" si="286"/>
        <v>5101.6000000000004</v>
      </c>
    </row>
    <row r="1198" spans="1:14" ht="15.75" x14ac:dyDescent="0.25">
      <c r="A1198" s="38">
        <v>18</v>
      </c>
      <c r="B1198" s="34" t="s">
        <v>986</v>
      </c>
      <c r="C1198" s="18">
        <v>18545000000</v>
      </c>
      <c r="D1198" s="32" t="s">
        <v>2350</v>
      </c>
      <c r="E1198" s="86">
        <v>55.225000000000001</v>
      </c>
      <c r="F1198" s="86">
        <v>0.46400000000000002</v>
      </c>
      <c r="G1198" s="86">
        <f t="shared" si="289"/>
        <v>55.689</v>
      </c>
      <c r="H1198" s="83">
        <v>188589.07</v>
      </c>
      <c r="I1198" s="5">
        <f>(69.327+1356.061)*0.6</f>
        <v>855.23279999999988</v>
      </c>
      <c r="J1198" s="5">
        <f t="shared" si="287"/>
        <v>189444.3028</v>
      </c>
      <c r="K1198" s="5">
        <f t="shared" si="288"/>
        <v>3401.8262637145576</v>
      </c>
      <c r="L1198" s="5">
        <f t="shared" si="284"/>
        <v>1.0029246513151637</v>
      </c>
      <c r="M1198" s="5">
        <f t="shared" si="285"/>
        <v>0</v>
      </c>
      <c r="N1198" s="5">
        <f t="shared" si="286"/>
        <v>0</v>
      </c>
    </row>
    <row r="1199" spans="1:14" ht="15.75" x14ac:dyDescent="0.25">
      <c r="A1199" s="38">
        <v>18</v>
      </c>
      <c r="B1199" s="34" t="s">
        <v>984</v>
      </c>
      <c r="C1199" s="18">
        <v>18546000000</v>
      </c>
      <c r="D1199" s="32" t="s">
        <v>2351</v>
      </c>
      <c r="E1199" s="86">
        <v>10.189</v>
      </c>
      <c r="F1199" s="86">
        <v>8.5999999999999993E-2</v>
      </c>
      <c r="G1199" s="86">
        <f t="shared" si="289"/>
        <v>10.275</v>
      </c>
      <c r="H1199" s="86">
        <v>48735.360999999997</v>
      </c>
      <c r="I1199" s="86">
        <f>(-5312.346-16747.54-697+4857.75)*0.6</f>
        <v>-10739.481599999999</v>
      </c>
      <c r="J1199" s="5">
        <f t="shared" si="287"/>
        <v>37995.879399999998</v>
      </c>
      <c r="K1199" s="5">
        <f t="shared" si="288"/>
        <v>3697.8958053527977</v>
      </c>
      <c r="L1199" s="5">
        <f t="shared" si="284"/>
        <v>1.0902117197289221</v>
      </c>
      <c r="M1199" s="5">
        <f t="shared" si="285"/>
        <v>0</v>
      </c>
      <c r="N1199" s="5">
        <f t="shared" si="286"/>
        <v>0</v>
      </c>
    </row>
    <row r="1200" spans="1:14" ht="15.75" x14ac:dyDescent="0.25">
      <c r="A1200" s="38">
        <v>18</v>
      </c>
      <c r="B1200" s="34" t="s">
        <v>985</v>
      </c>
      <c r="C1200" s="18">
        <v>18547000000</v>
      </c>
      <c r="D1200" s="32" t="s">
        <v>2352</v>
      </c>
      <c r="E1200" s="86">
        <v>8.4619999999999997</v>
      </c>
      <c r="F1200" s="86">
        <v>8.7999999999999995E-2</v>
      </c>
      <c r="G1200" s="86">
        <f t="shared" si="289"/>
        <v>8.5499999999999989</v>
      </c>
      <c r="H1200" s="86">
        <v>12745.672</v>
      </c>
      <c r="I1200" s="86">
        <f>(155.255)*0.6</f>
        <v>93.152999999999992</v>
      </c>
      <c r="J1200" s="5">
        <f t="shared" si="287"/>
        <v>12838.825000000001</v>
      </c>
      <c r="K1200" s="5">
        <f t="shared" si="288"/>
        <v>1501.6169590643278</v>
      </c>
      <c r="L1200" s="5">
        <f t="shared" si="284"/>
        <v>0.44270593155867721</v>
      </c>
      <c r="M1200" s="5">
        <f t="shared" si="285"/>
        <v>0</v>
      </c>
      <c r="N1200" s="5">
        <f t="shared" si="286"/>
        <v>10609.5</v>
      </c>
    </row>
    <row r="1201" spans="1:14" ht="31.5" x14ac:dyDescent="0.25">
      <c r="A1201" s="38">
        <v>18</v>
      </c>
      <c r="B1201" s="34" t="s">
        <v>983</v>
      </c>
      <c r="C1201" s="18">
        <v>18548000000</v>
      </c>
      <c r="D1201" s="32" t="s">
        <v>2353</v>
      </c>
      <c r="E1201" s="86">
        <v>10.474</v>
      </c>
      <c r="F1201" s="86">
        <v>0.11</v>
      </c>
      <c r="G1201" s="86">
        <f t="shared" si="289"/>
        <v>10.584</v>
      </c>
      <c r="H1201" s="86">
        <v>20895.911</v>
      </c>
      <c r="I1201" s="5">
        <f>(13.177)*0.6</f>
        <v>7.9061999999999992</v>
      </c>
      <c r="J1201" s="5">
        <f t="shared" si="287"/>
        <v>20903.817200000001</v>
      </c>
      <c r="K1201" s="5">
        <f t="shared" si="288"/>
        <v>1975.0394179894181</v>
      </c>
      <c r="L1201" s="5">
        <f t="shared" si="284"/>
        <v>0.58228009488580645</v>
      </c>
      <c r="M1201" s="5">
        <f t="shared" si="285"/>
        <v>0</v>
      </c>
      <c r="N1201" s="5">
        <f t="shared" si="286"/>
        <v>9124.9</v>
      </c>
    </row>
    <row r="1202" spans="1:14" ht="15.75" x14ac:dyDescent="0.25">
      <c r="A1202" s="38">
        <v>18</v>
      </c>
      <c r="B1202" s="34" t="s">
        <v>984</v>
      </c>
      <c r="C1202" s="18">
        <v>18549000000</v>
      </c>
      <c r="D1202" s="32" t="s">
        <v>2354</v>
      </c>
      <c r="E1202" s="86">
        <v>5.85</v>
      </c>
      <c r="F1202" s="86">
        <v>5.0999999999999997E-2</v>
      </c>
      <c r="G1202" s="86">
        <f t="shared" si="289"/>
        <v>5.9009999999999998</v>
      </c>
      <c r="H1202" s="86">
        <v>13037.766</v>
      </c>
      <c r="I1202" s="86"/>
      <c r="J1202" s="5">
        <f t="shared" si="287"/>
        <v>13037.766</v>
      </c>
      <c r="K1202" s="5">
        <f t="shared" si="288"/>
        <v>2209.4163701067614</v>
      </c>
      <c r="L1202" s="5">
        <f t="shared" si="284"/>
        <v>0.65137898611546186</v>
      </c>
      <c r="M1202" s="5">
        <f t="shared" si="285"/>
        <v>0</v>
      </c>
      <c r="N1202" s="5">
        <f t="shared" si="286"/>
        <v>3981</v>
      </c>
    </row>
    <row r="1203" spans="1:14" ht="31.5" x14ac:dyDescent="0.25">
      <c r="A1203" s="38">
        <v>18</v>
      </c>
      <c r="B1203" s="34" t="s">
        <v>984</v>
      </c>
      <c r="C1203" s="18">
        <v>18550000000</v>
      </c>
      <c r="D1203" s="32" t="s">
        <v>2355</v>
      </c>
      <c r="E1203" s="86">
        <v>5.8479999999999999</v>
      </c>
      <c r="F1203" s="86">
        <v>1.4E-2</v>
      </c>
      <c r="G1203" s="86">
        <f t="shared" si="289"/>
        <v>5.8620000000000001</v>
      </c>
      <c r="H1203" s="86">
        <v>20042.545999999998</v>
      </c>
      <c r="I1203" s="86"/>
      <c r="J1203" s="5">
        <f t="shared" si="287"/>
        <v>20042.545999999998</v>
      </c>
      <c r="K1203" s="5">
        <f t="shared" si="288"/>
        <v>3419.0627772091434</v>
      </c>
      <c r="L1203" s="5">
        <f t="shared" si="284"/>
        <v>1.008006311266713</v>
      </c>
      <c r="M1203" s="5">
        <f t="shared" si="285"/>
        <v>0</v>
      </c>
      <c r="N1203" s="5">
        <f t="shared" si="286"/>
        <v>0</v>
      </c>
    </row>
    <row r="1204" spans="1:14" ht="31.5" x14ac:dyDescent="0.25">
      <c r="A1204" s="38">
        <v>18</v>
      </c>
      <c r="B1204" s="34" t="s">
        <v>985</v>
      </c>
      <c r="C1204" s="18">
        <v>18551000000</v>
      </c>
      <c r="D1204" s="32" t="s">
        <v>2356</v>
      </c>
      <c r="E1204" s="86">
        <v>8.1530000000000005</v>
      </c>
      <c r="F1204" s="86">
        <v>8.2000000000000003E-2</v>
      </c>
      <c r="G1204" s="86">
        <f t="shared" si="289"/>
        <v>8.2350000000000012</v>
      </c>
      <c r="H1204" s="86">
        <v>19192.066999999999</v>
      </c>
      <c r="I1204" s="5">
        <f>(28.604+2103.762)*0.6</f>
        <v>1279.4195999999999</v>
      </c>
      <c r="J1204" s="5">
        <f t="shared" si="287"/>
        <v>20471.4866</v>
      </c>
      <c r="K1204" s="5">
        <f t="shared" si="288"/>
        <v>2485.9121554341223</v>
      </c>
      <c r="L1204" s="5">
        <f t="shared" si="284"/>
        <v>0.73289532986511552</v>
      </c>
      <c r="M1204" s="5">
        <f t="shared" si="285"/>
        <v>0</v>
      </c>
      <c r="N1204" s="5">
        <f t="shared" si="286"/>
        <v>3734.1</v>
      </c>
    </row>
    <row r="1205" spans="1:14" ht="15.75" x14ac:dyDescent="0.25">
      <c r="A1205" s="36">
        <v>19</v>
      </c>
      <c r="B1205" s="17" t="s">
        <v>7</v>
      </c>
      <c r="C1205" s="17" t="s">
        <v>808</v>
      </c>
      <c r="D1205" s="11" t="s">
        <v>21</v>
      </c>
      <c r="E1205" s="11">
        <f t="shared" ref="E1205:J1205" si="290">E1206+E1207+E1211</f>
        <v>1030.5619999999997</v>
      </c>
      <c r="F1205" s="11">
        <f t="shared" si="290"/>
        <v>2.1659999999999995</v>
      </c>
      <c r="G1205" s="11">
        <f t="shared" si="290"/>
        <v>1032.6849999999999</v>
      </c>
      <c r="H1205" s="11">
        <f t="shared" si="290"/>
        <v>2598960.7000000007</v>
      </c>
      <c r="I1205" s="11">
        <f t="shared" si="290"/>
        <v>-13.9518</v>
      </c>
      <c r="J1205" s="11">
        <f t="shared" si="290"/>
        <v>2598946.7482000003</v>
      </c>
      <c r="K1205" s="11">
        <f t="shared" si="283"/>
        <v>2516.6887755704793</v>
      </c>
      <c r="L1205" s="11">
        <f t="shared" si="284"/>
        <v>0.74196887702069858</v>
      </c>
      <c r="M1205" s="11">
        <f>M1206+M1207+M1211</f>
        <v>114825</v>
      </c>
      <c r="N1205" s="11">
        <f>N1206+N1207+N1211</f>
        <v>764311.19999999984</v>
      </c>
    </row>
    <row r="1206" spans="1:14" ht="15.75" x14ac:dyDescent="0.25">
      <c r="A1206" s="38">
        <v>19</v>
      </c>
      <c r="B1206" s="34" t="s">
        <v>6</v>
      </c>
      <c r="C1206" s="18" t="s">
        <v>173</v>
      </c>
      <c r="D1206" s="32" t="s">
        <v>857</v>
      </c>
      <c r="E1206" s="5">
        <v>0</v>
      </c>
      <c r="F1206" s="5">
        <v>4.2999999999999997E-2</v>
      </c>
      <c r="G1206" s="5"/>
      <c r="H1206" s="49"/>
      <c r="I1206" s="49"/>
      <c r="J1206" s="5"/>
      <c r="K1206" s="5"/>
      <c r="L1206" s="5"/>
      <c r="M1206" s="5"/>
      <c r="N1206" s="5"/>
    </row>
    <row r="1207" spans="1:14" ht="15.75" x14ac:dyDescent="0.25">
      <c r="A1207" s="37">
        <v>19</v>
      </c>
      <c r="B1207" s="19" t="s">
        <v>5</v>
      </c>
      <c r="C1207" s="19" t="s">
        <v>809</v>
      </c>
      <c r="D1207" s="7" t="s">
        <v>2812</v>
      </c>
      <c r="E1207" s="7">
        <f t="shared" ref="E1207:J1207" si="291">SUM(E1208:E1210)</f>
        <v>0</v>
      </c>
      <c r="F1207" s="7">
        <f t="shared" si="291"/>
        <v>0</v>
      </c>
      <c r="G1207" s="7">
        <f t="shared" si="291"/>
        <v>0</v>
      </c>
      <c r="H1207" s="7">
        <f t="shared" si="291"/>
        <v>0</v>
      </c>
      <c r="I1207" s="7">
        <f t="shared" si="291"/>
        <v>0</v>
      </c>
      <c r="J1207" s="7">
        <f t="shared" si="291"/>
        <v>0</v>
      </c>
      <c r="K1207" s="7"/>
      <c r="L1207" s="7">
        <f>K1207/$K$1659</f>
        <v>0</v>
      </c>
      <c r="M1207" s="7">
        <f>SUM(M1208:M1210)</f>
        <v>0</v>
      </c>
      <c r="N1207" s="7">
        <f>SUM(N1208:N1210)</f>
        <v>0</v>
      </c>
    </row>
    <row r="1208" spans="1:14" ht="15.75" x14ac:dyDescent="0.25">
      <c r="A1208" s="38">
        <v>19</v>
      </c>
      <c r="B1208" s="34" t="s">
        <v>4</v>
      </c>
      <c r="C1208" s="18" t="s">
        <v>174</v>
      </c>
      <c r="D1208" s="32" t="s">
        <v>949</v>
      </c>
      <c r="E1208" s="5"/>
      <c r="F1208" s="5"/>
      <c r="G1208" s="5"/>
      <c r="H1208" s="49"/>
      <c r="I1208" s="49"/>
      <c r="J1208" s="5"/>
      <c r="K1208" s="5"/>
      <c r="L1208" s="5"/>
      <c r="M1208" s="5"/>
      <c r="N1208" s="5"/>
    </row>
    <row r="1209" spans="1:14" ht="15.75" x14ac:dyDescent="0.25">
      <c r="A1209" s="38">
        <v>19</v>
      </c>
      <c r="B1209" s="34" t="s">
        <v>4</v>
      </c>
      <c r="C1209" s="18" t="s">
        <v>175</v>
      </c>
      <c r="D1209" s="32" t="s">
        <v>950</v>
      </c>
      <c r="E1209" s="5"/>
      <c r="F1209" s="5"/>
      <c r="G1209" s="5"/>
      <c r="H1209" s="49"/>
      <c r="I1209" s="49"/>
      <c r="J1209" s="5"/>
      <c r="K1209" s="5"/>
      <c r="L1209" s="5"/>
      <c r="M1209" s="5"/>
      <c r="N1209" s="5"/>
    </row>
    <row r="1210" spans="1:14" ht="15.75" x14ac:dyDescent="0.25">
      <c r="A1210" s="38">
        <v>19</v>
      </c>
      <c r="B1210" s="34" t="s">
        <v>4</v>
      </c>
      <c r="C1210" s="18" t="s">
        <v>176</v>
      </c>
      <c r="D1210" s="32" t="s">
        <v>951</v>
      </c>
      <c r="E1210" s="5"/>
      <c r="F1210" s="5"/>
      <c r="G1210" s="5"/>
      <c r="H1210" s="49"/>
      <c r="I1210" s="49"/>
      <c r="J1210" s="5"/>
      <c r="K1210" s="5"/>
      <c r="L1210" s="5"/>
      <c r="M1210" s="5"/>
      <c r="N1210" s="5"/>
    </row>
    <row r="1211" spans="1:14" ht="31.5" x14ac:dyDescent="0.25">
      <c r="A1211" s="37">
        <v>19</v>
      </c>
      <c r="B1211" s="19" t="s">
        <v>28</v>
      </c>
      <c r="C1211" s="19" t="s">
        <v>810</v>
      </c>
      <c r="D1211" s="20" t="s">
        <v>2785</v>
      </c>
      <c r="E1211" s="7">
        <f t="shared" ref="E1211:J1211" si="292">SUM(E1212:E1266)</f>
        <v>1030.5619999999997</v>
      </c>
      <c r="F1211" s="7">
        <f t="shared" si="292"/>
        <v>2.1229999999999993</v>
      </c>
      <c r="G1211" s="7">
        <f t="shared" si="292"/>
        <v>1032.6849999999999</v>
      </c>
      <c r="H1211" s="7">
        <f t="shared" si="292"/>
        <v>2598960.7000000007</v>
      </c>
      <c r="I1211" s="7">
        <f t="shared" si="292"/>
        <v>-13.9518</v>
      </c>
      <c r="J1211" s="7">
        <f t="shared" si="292"/>
        <v>2598946.7482000003</v>
      </c>
      <c r="K1211" s="7">
        <f t="shared" ref="K1211:K1222" si="293">J1211/G1211</f>
        <v>2516.6887755704793</v>
      </c>
      <c r="L1211" s="7">
        <f>SUM(L1212:L1234)</f>
        <v>13.294704620955475</v>
      </c>
      <c r="M1211" s="7">
        <f>SUM(M1212:M1266)</f>
        <v>114825</v>
      </c>
      <c r="N1211" s="7">
        <f>SUM(N1212:N1266)</f>
        <v>764311.19999999984</v>
      </c>
    </row>
    <row r="1212" spans="1:14" ht="31.5" x14ac:dyDescent="0.25">
      <c r="A1212" s="38">
        <v>19</v>
      </c>
      <c r="B1212" s="34" t="s">
        <v>984</v>
      </c>
      <c r="C1212" s="18" t="s">
        <v>239</v>
      </c>
      <c r="D1212" s="32" t="s">
        <v>3101</v>
      </c>
      <c r="E1212" s="5">
        <v>12.03</v>
      </c>
      <c r="F1212" s="5">
        <v>1.2999999999999999E-2</v>
      </c>
      <c r="G1212" s="5">
        <f>F1212+E1212</f>
        <v>12.042999999999999</v>
      </c>
      <c r="H1212" s="49">
        <v>84409.8</v>
      </c>
      <c r="I1212" s="49"/>
      <c r="J1212" s="5">
        <f t="shared" ref="J1212:J1222" si="294">H1212+I1212</f>
        <v>84409.8</v>
      </c>
      <c r="K1212" s="5">
        <f t="shared" si="293"/>
        <v>7009.0342937806199</v>
      </c>
      <c r="L1212" s="5">
        <f t="shared" ref="L1212:L1243" si="295">K1212/$K$1659</f>
        <v>2.0663998482597967</v>
      </c>
      <c r="M1212" s="5">
        <f t="shared" ref="M1212:M1243" si="296">ROUND(IF(L1212&lt;110%,0,(K1212-$K$1659*1.1)*0.5)*G1212,1)</f>
        <v>19738.099999999999</v>
      </c>
      <c r="N1212" s="5">
        <f t="shared" ref="N1212:N1243" si="297">ROUND(IF(L1212&gt;90%,0,(-K1212+$K$1659*0.9)*0.8)*G1212,1)</f>
        <v>0</v>
      </c>
    </row>
    <row r="1213" spans="1:14" ht="31.5" x14ac:dyDescent="0.25">
      <c r="A1213" s="38">
        <v>19</v>
      </c>
      <c r="B1213" s="34" t="s">
        <v>984</v>
      </c>
      <c r="C1213" s="18" t="s">
        <v>240</v>
      </c>
      <c r="D1213" s="32" t="s">
        <v>2358</v>
      </c>
      <c r="E1213" s="5">
        <v>10.818</v>
      </c>
      <c r="F1213" s="5">
        <v>1.4E-2</v>
      </c>
      <c r="G1213" s="5">
        <f t="shared" ref="G1213:G1256" si="298">F1213+E1213</f>
        <v>10.831999999999999</v>
      </c>
      <c r="H1213" s="49">
        <v>17226.5</v>
      </c>
      <c r="I1213" s="49"/>
      <c r="J1213" s="5">
        <f t="shared" si="294"/>
        <v>17226.5</v>
      </c>
      <c r="K1213" s="5">
        <f t="shared" si="293"/>
        <v>1590.3341949778435</v>
      </c>
      <c r="L1213" s="5">
        <f t="shared" si="295"/>
        <v>0.46886150094894097</v>
      </c>
      <c r="M1213" s="5">
        <f t="shared" si="296"/>
        <v>0</v>
      </c>
      <c r="N1213" s="5">
        <f t="shared" si="297"/>
        <v>12672.4</v>
      </c>
    </row>
    <row r="1214" spans="1:14" ht="31.5" x14ac:dyDescent="0.25">
      <c r="A1214" s="38">
        <v>19</v>
      </c>
      <c r="B1214" s="34" t="s">
        <v>984</v>
      </c>
      <c r="C1214" s="18" t="s">
        <v>241</v>
      </c>
      <c r="D1214" s="32" t="s">
        <v>2359</v>
      </c>
      <c r="E1214" s="5">
        <v>8.07</v>
      </c>
      <c r="F1214" s="5">
        <v>2E-3</v>
      </c>
      <c r="G1214" s="5">
        <f t="shared" si="298"/>
        <v>8.072000000000001</v>
      </c>
      <c r="H1214" s="49">
        <v>12922.3</v>
      </c>
      <c r="I1214" s="49"/>
      <c r="J1214" s="5">
        <f t="shared" si="294"/>
        <v>12922.3</v>
      </c>
      <c r="K1214" s="5">
        <f t="shared" si="293"/>
        <v>1600.8795837462831</v>
      </c>
      <c r="L1214" s="5">
        <f t="shared" si="295"/>
        <v>0.47197048698575916</v>
      </c>
      <c r="M1214" s="5">
        <f t="shared" si="296"/>
        <v>0</v>
      </c>
      <c r="N1214" s="5">
        <f t="shared" si="297"/>
        <v>9375.4</v>
      </c>
    </row>
    <row r="1215" spans="1:14" s="13" customFormat="1" ht="31.5" x14ac:dyDescent="0.25">
      <c r="A1215" s="38">
        <v>19</v>
      </c>
      <c r="B1215" s="34" t="s">
        <v>984</v>
      </c>
      <c r="C1215" s="18" t="s">
        <v>242</v>
      </c>
      <c r="D1215" s="32" t="s">
        <v>2360</v>
      </c>
      <c r="E1215" s="5">
        <v>11.286</v>
      </c>
      <c r="F1215" s="5">
        <v>1.0999999999999999E-2</v>
      </c>
      <c r="G1215" s="5">
        <f t="shared" si="298"/>
        <v>11.296999999999999</v>
      </c>
      <c r="H1215" s="49">
        <v>27394.5</v>
      </c>
      <c r="I1215" s="49"/>
      <c r="J1215" s="5">
        <f t="shared" si="294"/>
        <v>27394.5</v>
      </c>
      <c r="K1215" s="5">
        <f t="shared" si="293"/>
        <v>2424.9358236700014</v>
      </c>
      <c r="L1215" s="5">
        <f t="shared" si="295"/>
        <v>0.7149183194206632</v>
      </c>
      <c r="M1215" s="5">
        <f t="shared" si="296"/>
        <v>0</v>
      </c>
      <c r="N1215" s="5">
        <f t="shared" si="297"/>
        <v>5673.6</v>
      </c>
    </row>
    <row r="1216" spans="1:14" s="13" customFormat="1" ht="31.5" x14ac:dyDescent="0.25">
      <c r="A1216" s="38">
        <v>19</v>
      </c>
      <c r="B1216" s="34" t="s">
        <v>985</v>
      </c>
      <c r="C1216" s="18" t="s">
        <v>243</v>
      </c>
      <c r="D1216" s="32" t="s">
        <v>2361</v>
      </c>
      <c r="E1216" s="5">
        <v>15.576000000000001</v>
      </c>
      <c r="F1216" s="5">
        <v>3.2000000000000001E-2</v>
      </c>
      <c r="G1216" s="5">
        <f t="shared" si="298"/>
        <v>15.608000000000001</v>
      </c>
      <c r="H1216" s="49">
        <v>52494.9</v>
      </c>
      <c r="I1216" s="49"/>
      <c r="J1216" s="5">
        <f t="shared" si="294"/>
        <v>52494.9</v>
      </c>
      <c r="K1216" s="5">
        <f t="shared" si="293"/>
        <v>3363.3329062019475</v>
      </c>
      <c r="L1216" s="5">
        <f t="shared" si="295"/>
        <v>0.99157605965630302</v>
      </c>
      <c r="M1216" s="5">
        <f t="shared" si="296"/>
        <v>0</v>
      </c>
      <c r="N1216" s="5">
        <f t="shared" si="297"/>
        <v>0</v>
      </c>
    </row>
    <row r="1217" spans="1:14" s="13" customFormat="1" ht="15.75" x14ac:dyDescent="0.25">
      <c r="A1217" s="38">
        <v>19</v>
      </c>
      <c r="B1217" s="34" t="s">
        <v>985</v>
      </c>
      <c r="C1217" s="18" t="s">
        <v>244</v>
      </c>
      <c r="D1217" s="32" t="s">
        <v>2362</v>
      </c>
      <c r="E1217" s="5">
        <v>6.8520000000000003</v>
      </c>
      <c r="F1217" s="5">
        <v>1.4E-2</v>
      </c>
      <c r="G1217" s="5">
        <f t="shared" si="298"/>
        <v>6.8660000000000005</v>
      </c>
      <c r="H1217" s="49">
        <v>11787.1</v>
      </c>
      <c r="I1217" s="49"/>
      <c r="J1217" s="5">
        <f t="shared" si="294"/>
        <v>11787.1</v>
      </c>
      <c r="K1217" s="5">
        <f t="shared" si="293"/>
        <v>1716.7346344305272</v>
      </c>
      <c r="L1217" s="5">
        <f t="shared" si="295"/>
        <v>0.50612681282461036</v>
      </c>
      <c r="M1217" s="5">
        <f t="shared" si="296"/>
        <v>0</v>
      </c>
      <c r="N1217" s="5">
        <f t="shared" si="297"/>
        <v>7338.3</v>
      </c>
    </row>
    <row r="1218" spans="1:14" s="13" customFormat="1" ht="31.5" x14ac:dyDescent="0.25">
      <c r="A1218" s="38">
        <v>19</v>
      </c>
      <c r="B1218" s="34" t="s">
        <v>984</v>
      </c>
      <c r="C1218" s="18" t="s">
        <v>245</v>
      </c>
      <c r="D1218" s="32" t="s">
        <v>2363</v>
      </c>
      <c r="E1218" s="5">
        <v>7.601</v>
      </c>
      <c r="F1218" s="5">
        <v>6.0000000000000001E-3</v>
      </c>
      <c r="G1218" s="5">
        <f t="shared" si="298"/>
        <v>7.6070000000000002</v>
      </c>
      <c r="H1218" s="49">
        <v>12828.3</v>
      </c>
      <c r="I1218" s="49"/>
      <c r="J1218" s="5">
        <f t="shared" si="294"/>
        <v>12828.3</v>
      </c>
      <c r="K1218" s="5">
        <f t="shared" si="293"/>
        <v>1686.3809649007492</v>
      </c>
      <c r="L1218" s="5">
        <f t="shared" si="295"/>
        <v>0.49717795974707335</v>
      </c>
      <c r="M1218" s="5">
        <f t="shared" si="296"/>
        <v>0</v>
      </c>
      <c r="N1218" s="5">
        <f t="shared" si="297"/>
        <v>8315</v>
      </c>
    </row>
    <row r="1219" spans="1:14" s="24" customFormat="1" ht="31.5" x14ac:dyDescent="0.25">
      <c r="A1219" s="38">
        <v>19</v>
      </c>
      <c r="B1219" s="34" t="s">
        <v>985</v>
      </c>
      <c r="C1219" s="18" t="s">
        <v>246</v>
      </c>
      <c r="D1219" s="32" t="s">
        <v>2364</v>
      </c>
      <c r="E1219" s="5">
        <v>15.172000000000001</v>
      </c>
      <c r="F1219" s="5">
        <v>7.0000000000000001E-3</v>
      </c>
      <c r="G1219" s="5">
        <f t="shared" si="298"/>
        <v>15.179</v>
      </c>
      <c r="H1219" s="49">
        <v>11888.7</v>
      </c>
      <c r="I1219" s="49"/>
      <c r="J1219" s="5">
        <f t="shared" si="294"/>
        <v>11888.7</v>
      </c>
      <c r="K1219" s="5">
        <f t="shared" si="293"/>
        <v>783.23341458594109</v>
      </c>
      <c r="L1219" s="5">
        <f t="shared" si="295"/>
        <v>0.2309124682823315</v>
      </c>
      <c r="M1219" s="5">
        <f t="shared" si="296"/>
        <v>0</v>
      </c>
      <c r="N1219" s="5">
        <f t="shared" si="297"/>
        <v>27558.799999999999</v>
      </c>
    </row>
    <row r="1220" spans="1:14" s="24" customFormat="1" ht="15.75" x14ac:dyDescent="0.25">
      <c r="A1220" s="38">
        <v>19</v>
      </c>
      <c r="B1220" s="34" t="s">
        <v>984</v>
      </c>
      <c r="C1220" s="18" t="s">
        <v>247</v>
      </c>
      <c r="D1220" s="32" t="s">
        <v>2365</v>
      </c>
      <c r="E1220" s="5">
        <v>4.0780000000000003</v>
      </c>
      <c r="F1220" s="5">
        <v>1.2999999999999999E-2</v>
      </c>
      <c r="G1220" s="5">
        <f t="shared" si="298"/>
        <v>4.0910000000000002</v>
      </c>
      <c r="H1220" s="49">
        <v>9619.7000000000007</v>
      </c>
      <c r="I1220" s="49"/>
      <c r="J1220" s="5">
        <f t="shared" si="294"/>
        <v>9619.7000000000007</v>
      </c>
      <c r="K1220" s="5">
        <f t="shared" si="293"/>
        <v>2351.4299682229284</v>
      </c>
      <c r="L1220" s="5">
        <f t="shared" si="295"/>
        <v>0.69324736131494846</v>
      </c>
      <c r="M1220" s="5">
        <f t="shared" si="296"/>
        <v>0</v>
      </c>
      <c r="N1220" s="5">
        <f t="shared" si="297"/>
        <v>2295.1999999999998</v>
      </c>
    </row>
    <row r="1221" spans="1:14" s="24" customFormat="1" ht="31.5" x14ac:dyDescent="0.25">
      <c r="A1221" s="38">
        <v>19</v>
      </c>
      <c r="B1221" s="34" t="s">
        <v>985</v>
      </c>
      <c r="C1221" s="18" t="s">
        <v>248</v>
      </c>
      <c r="D1221" s="32" t="s">
        <v>2366</v>
      </c>
      <c r="E1221" s="5">
        <v>4.4039999999999999</v>
      </c>
      <c r="F1221" s="5">
        <v>0</v>
      </c>
      <c r="G1221" s="5">
        <f t="shared" si="298"/>
        <v>4.4039999999999999</v>
      </c>
      <c r="H1221" s="49">
        <v>7242.8</v>
      </c>
      <c r="I1221" s="49"/>
      <c r="J1221" s="5">
        <f t="shared" si="294"/>
        <v>7242.8</v>
      </c>
      <c r="K1221" s="5">
        <f t="shared" si="293"/>
        <v>1644.5958219800182</v>
      </c>
      <c r="L1221" s="5">
        <f t="shared" si="295"/>
        <v>0.48485888562476104</v>
      </c>
      <c r="M1221" s="5">
        <f t="shared" si="296"/>
        <v>0</v>
      </c>
      <c r="N1221" s="5">
        <f t="shared" si="297"/>
        <v>4961.1000000000004</v>
      </c>
    </row>
    <row r="1222" spans="1:14" s="13" customFormat="1" ht="31.5" x14ac:dyDescent="0.25">
      <c r="A1222" s="38">
        <v>19</v>
      </c>
      <c r="B1222" s="34" t="s">
        <v>984</v>
      </c>
      <c r="C1222" s="18" t="s">
        <v>249</v>
      </c>
      <c r="D1222" s="32" t="s">
        <v>2367</v>
      </c>
      <c r="E1222" s="5">
        <v>6.593</v>
      </c>
      <c r="F1222" s="5">
        <v>1.6E-2</v>
      </c>
      <c r="G1222" s="5">
        <f t="shared" si="298"/>
        <v>6.609</v>
      </c>
      <c r="H1222" s="49">
        <v>7952.2</v>
      </c>
      <c r="I1222" s="49"/>
      <c r="J1222" s="5">
        <f t="shared" si="294"/>
        <v>7952.2</v>
      </c>
      <c r="K1222" s="5">
        <f t="shared" si="293"/>
        <v>1203.2380087759116</v>
      </c>
      <c r="L1222" s="5">
        <f t="shared" si="295"/>
        <v>0.35473800448675419</v>
      </c>
      <c r="M1222" s="5">
        <f t="shared" si="296"/>
        <v>0</v>
      </c>
      <c r="N1222" s="5">
        <f t="shared" si="297"/>
        <v>9778.6</v>
      </c>
    </row>
    <row r="1223" spans="1:14" s="13" customFormat="1" ht="31.5" x14ac:dyDescent="0.25">
      <c r="A1223" s="38">
        <v>19</v>
      </c>
      <c r="B1223" s="34" t="s">
        <v>985</v>
      </c>
      <c r="C1223" s="18" t="s">
        <v>250</v>
      </c>
      <c r="D1223" s="32" t="s">
        <v>2368</v>
      </c>
      <c r="E1223" s="5">
        <v>6.0060000000000002</v>
      </c>
      <c r="F1223" s="5">
        <v>0</v>
      </c>
      <c r="G1223" s="5">
        <f t="shared" si="298"/>
        <v>6.0060000000000002</v>
      </c>
      <c r="H1223" s="49">
        <v>5078.3</v>
      </c>
      <c r="I1223" s="49"/>
      <c r="J1223" s="5">
        <f>H1223+I1223</f>
        <v>5078.3</v>
      </c>
      <c r="K1223" s="5">
        <f>J1223/G1223</f>
        <v>845.53779553779555</v>
      </c>
      <c r="L1223" s="5">
        <f t="shared" si="295"/>
        <v>0.24928101349819293</v>
      </c>
      <c r="M1223" s="5">
        <f t="shared" si="296"/>
        <v>0</v>
      </c>
      <c r="N1223" s="5">
        <f t="shared" si="297"/>
        <v>10605</v>
      </c>
    </row>
    <row r="1224" spans="1:14" s="13" customFormat="1" ht="31.5" x14ac:dyDescent="0.25">
      <c r="A1224" s="38">
        <v>19</v>
      </c>
      <c r="B1224" s="34" t="s">
        <v>984</v>
      </c>
      <c r="C1224" s="18" t="s">
        <v>251</v>
      </c>
      <c r="D1224" s="32" t="s">
        <v>2369</v>
      </c>
      <c r="E1224" s="5">
        <v>5.1719999999999997</v>
      </c>
      <c r="F1224" s="5">
        <v>3.0000000000000001E-3</v>
      </c>
      <c r="G1224" s="5">
        <f t="shared" si="298"/>
        <v>5.1749999999999998</v>
      </c>
      <c r="H1224" s="49">
        <v>6811.9</v>
      </c>
      <c r="I1224" s="49"/>
      <c r="J1224" s="5">
        <f>H1224+I1224</f>
        <v>6811.9</v>
      </c>
      <c r="K1224" s="5">
        <f>J1224/G1224</f>
        <v>1316.3091787439614</v>
      </c>
      <c r="L1224" s="5">
        <f t="shared" si="295"/>
        <v>0.38807358805949582</v>
      </c>
      <c r="M1224" s="5">
        <f t="shared" si="296"/>
        <v>0</v>
      </c>
      <c r="N1224" s="5">
        <f t="shared" si="297"/>
        <v>7188.7</v>
      </c>
    </row>
    <row r="1225" spans="1:14" s="13" customFormat="1" ht="31.5" x14ac:dyDescent="0.25">
      <c r="A1225" s="38">
        <v>19</v>
      </c>
      <c r="B1225" s="34" t="s">
        <v>985</v>
      </c>
      <c r="C1225" s="18" t="s">
        <v>252</v>
      </c>
      <c r="D1225" s="32" t="s">
        <v>2370</v>
      </c>
      <c r="E1225" s="5">
        <v>16.550999999999998</v>
      </c>
      <c r="F1225" s="5">
        <v>8.9999999999999993E-3</v>
      </c>
      <c r="G1225" s="5">
        <f t="shared" si="298"/>
        <v>16.559999999999999</v>
      </c>
      <c r="H1225" s="49">
        <v>12974.5</v>
      </c>
      <c r="I1225" s="49"/>
      <c r="J1225" s="5">
        <f>H1225+I1225</f>
        <v>12974.5</v>
      </c>
      <c r="K1225" s="5">
        <f>J1225/G1225</f>
        <v>783.48429951690832</v>
      </c>
      <c r="L1225" s="5">
        <f t="shared" si="295"/>
        <v>0.23098643404730734</v>
      </c>
      <c r="M1225" s="5">
        <f t="shared" si="296"/>
        <v>0</v>
      </c>
      <c r="N1225" s="5">
        <f t="shared" si="297"/>
        <v>30062.799999999999</v>
      </c>
    </row>
    <row r="1226" spans="1:14" s="13" customFormat="1" ht="31.5" x14ac:dyDescent="0.25">
      <c r="A1226" s="38">
        <v>19</v>
      </c>
      <c r="B1226" s="34" t="s">
        <v>985</v>
      </c>
      <c r="C1226" s="18" t="s">
        <v>253</v>
      </c>
      <c r="D1226" s="32" t="s">
        <v>2371</v>
      </c>
      <c r="E1226" s="5">
        <v>17.170000000000002</v>
      </c>
      <c r="F1226" s="5">
        <v>2.1000000000000001E-2</v>
      </c>
      <c r="G1226" s="5">
        <f t="shared" si="298"/>
        <v>17.191000000000003</v>
      </c>
      <c r="H1226" s="49">
        <v>23060.6</v>
      </c>
      <c r="I1226" s="49"/>
      <c r="J1226" s="5">
        <f>H1226+I1226</f>
        <v>23060.6</v>
      </c>
      <c r="K1226" s="5">
        <f>J1226/G1226</f>
        <v>1341.434471525798</v>
      </c>
      <c r="L1226" s="5">
        <f t="shared" si="295"/>
        <v>0.39548101382112177</v>
      </c>
      <c r="M1226" s="5">
        <f t="shared" si="296"/>
        <v>0</v>
      </c>
      <c r="N1226" s="5">
        <f t="shared" si="297"/>
        <v>23534.9</v>
      </c>
    </row>
    <row r="1227" spans="1:14" s="13" customFormat="1" ht="31.5" x14ac:dyDescent="0.25">
      <c r="A1227" s="38">
        <v>19</v>
      </c>
      <c r="B1227" s="34" t="s">
        <v>984</v>
      </c>
      <c r="C1227" s="18" t="s">
        <v>254</v>
      </c>
      <c r="D1227" s="32" t="s">
        <v>2372</v>
      </c>
      <c r="E1227" s="5">
        <v>7.0730000000000004</v>
      </c>
      <c r="F1227" s="5">
        <v>5.0000000000000001E-3</v>
      </c>
      <c r="G1227" s="5">
        <f t="shared" si="298"/>
        <v>7.0780000000000003</v>
      </c>
      <c r="H1227" s="49">
        <v>7443</v>
      </c>
      <c r="I1227" s="49"/>
      <c r="J1227" s="5">
        <f>H1227+I1227</f>
        <v>7443</v>
      </c>
      <c r="K1227" s="5">
        <f>J1227/G1227</f>
        <v>1051.5682396157106</v>
      </c>
      <c r="L1227" s="5">
        <f t="shared" si="295"/>
        <v>0.31002280195787824</v>
      </c>
      <c r="M1227" s="5">
        <f t="shared" si="296"/>
        <v>0</v>
      </c>
      <c r="N1227" s="5">
        <f t="shared" si="297"/>
        <v>11331.3</v>
      </c>
    </row>
    <row r="1228" spans="1:14" s="13" customFormat="1" ht="31.5" x14ac:dyDescent="0.25">
      <c r="A1228" s="38">
        <v>19</v>
      </c>
      <c r="B1228" s="34" t="s">
        <v>985</v>
      </c>
      <c r="C1228" s="18" t="s">
        <v>255</v>
      </c>
      <c r="D1228" s="32" t="s">
        <v>2373</v>
      </c>
      <c r="E1228" s="5">
        <v>18.538</v>
      </c>
      <c r="F1228" s="5">
        <v>1.2E-2</v>
      </c>
      <c r="G1228" s="5">
        <f t="shared" si="298"/>
        <v>18.55</v>
      </c>
      <c r="H1228" s="49">
        <v>43463.8</v>
      </c>
      <c r="I1228" s="49"/>
      <c r="J1228" s="5">
        <f t="shared" ref="J1228:J1241" si="299">H1228+I1228</f>
        <v>43463.8</v>
      </c>
      <c r="K1228" s="5">
        <f t="shared" ref="K1228:K1241" si="300">J1228/G1228</f>
        <v>2343.0619946091647</v>
      </c>
      <c r="L1228" s="5">
        <f t="shared" si="295"/>
        <v>0.69078031968254172</v>
      </c>
      <c r="M1228" s="5">
        <f t="shared" si="296"/>
        <v>0</v>
      </c>
      <c r="N1228" s="5">
        <f t="shared" si="297"/>
        <v>10531.3</v>
      </c>
    </row>
    <row r="1229" spans="1:14" s="13" customFormat="1" ht="15.75" x14ac:dyDescent="0.25">
      <c r="A1229" s="38">
        <v>19</v>
      </c>
      <c r="B1229" s="34" t="s">
        <v>983</v>
      </c>
      <c r="C1229" s="18" t="s">
        <v>256</v>
      </c>
      <c r="D1229" s="32" t="s">
        <v>2374</v>
      </c>
      <c r="E1229" s="5">
        <v>17.882999999999999</v>
      </c>
      <c r="F1229" s="5">
        <v>1.7000000000000001E-2</v>
      </c>
      <c r="G1229" s="5">
        <f t="shared" si="298"/>
        <v>17.899999999999999</v>
      </c>
      <c r="H1229" s="49">
        <v>21421.599999999999</v>
      </c>
      <c r="I1229" s="49"/>
      <c r="J1229" s="5">
        <f t="shared" si="299"/>
        <v>21421.599999999999</v>
      </c>
      <c r="K1229" s="5">
        <f t="shared" si="300"/>
        <v>1196.7374301675977</v>
      </c>
      <c r="L1229" s="5">
        <f t="shared" si="295"/>
        <v>0.3528215072794656</v>
      </c>
      <c r="M1229" s="5">
        <f t="shared" si="296"/>
        <v>0</v>
      </c>
      <c r="N1229" s="5">
        <f t="shared" si="297"/>
        <v>26577.599999999999</v>
      </c>
    </row>
    <row r="1230" spans="1:14" s="13" customFormat="1" ht="31.5" x14ac:dyDescent="0.25">
      <c r="A1230" s="38">
        <v>19</v>
      </c>
      <c r="B1230" s="34" t="s">
        <v>985</v>
      </c>
      <c r="C1230" s="18" t="s">
        <v>257</v>
      </c>
      <c r="D1230" s="32" t="s">
        <v>2375</v>
      </c>
      <c r="E1230" s="5">
        <v>10.238</v>
      </c>
      <c r="F1230" s="5">
        <v>2.9000000000000001E-2</v>
      </c>
      <c r="G1230" s="5">
        <f t="shared" si="298"/>
        <v>10.266999999999999</v>
      </c>
      <c r="H1230" s="49">
        <v>17729.199999999997</v>
      </c>
      <c r="I1230" s="49">
        <f>(-23.253)*0.6</f>
        <v>-13.9518</v>
      </c>
      <c r="J1230" s="5">
        <f t="shared" si="299"/>
        <v>17715.248199999998</v>
      </c>
      <c r="K1230" s="5">
        <f t="shared" si="300"/>
        <v>1725.455167040031</v>
      </c>
      <c r="L1230" s="5">
        <f t="shared" si="295"/>
        <v>0.50869779571693452</v>
      </c>
      <c r="M1230" s="5">
        <f t="shared" si="296"/>
        <v>0</v>
      </c>
      <c r="N1230" s="5">
        <f t="shared" si="297"/>
        <v>10901.6</v>
      </c>
    </row>
    <row r="1231" spans="1:14" s="13" customFormat="1" ht="15.75" x14ac:dyDescent="0.25">
      <c r="A1231" s="38">
        <v>19</v>
      </c>
      <c r="B1231" s="34" t="s">
        <v>983</v>
      </c>
      <c r="C1231" s="18" t="s">
        <v>258</v>
      </c>
      <c r="D1231" s="32" t="s">
        <v>2376</v>
      </c>
      <c r="E1231" s="5">
        <v>13.345000000000001</v>
      </c>
      <c r="F1231" s="5">
        <v>7.0000000000000001E-3</v>
      </c>
      <c r="G1231" s="5">
        <f t="shared" si="298"/>
        <v>13.352</v>
      </c>
      <c r="H1231" s="49">
        <v>26693.5</v>
      </c>
      <c r="I1231" s="49"/>
      <c r="J1231" s="5">
        <f t="shared" si="299"/>
        <v>26693.5</v>
      </c>
      <c r="K1231" s="5">
        <f t="shared" si="300"/>
        <v>1999.2136009586579</v>
      </c>
      <c r="L1231" s="5">
        <f t="shared" si="295"/>
        <v>0.58940711494672515</v>
      </c>
      <c r="M1231" s="5">
        <f t="shared" si="296"/>
        <v>0</v>
      </c>
      <c r="N1231" s="5">
        <f t="shared" si="297"/>
        <v>11253.1</v>
      </c>
    </row>
    <row r="1232" spans="1:14" s="13" customFormat="1" ht="31.5" x14ac:dyDescent="0.25">
      <c r="A1232" s="38">
        <v>19</v>
      </c>
      <c r="B1232" s="34" t="s">
        <v>984</v>
      </c>
      <c r="C1232" s="18" t="s">
        <v>259</v>
      </c>
      <c r="D1232" s="32" t="s">
        <v>2377</v>
      </c>
      <c r="E1232" s="5">
        <v>8.2200000000000006</v>
      </c>
      <c r="F1232" s="5">
        <v>4.0000000000000001E-3</v>
      </c>
      <c r="G1232" s="5">
        <f t="shared" si="298"/>
        <v>8.2240000000000002</v>
      </c>
      <c r="H1232" s="49">
        <v>26708.5</v>
      </c>
      <c r="I1232" s="49"/>
      <c r="J1232" s="5">
        <f t="shared" si="299"/>
        <v>26708.5</v>
      </c>
      <c r="K1232" s="5">
        <f t="shared" si="300"/>
        <v>3247.6288910505837</v>
      </c>
      <c r="L1232" s="5">
        <f t="shared" si="295"/>
        <v>0.9574642620347702</v>
      </c>
      <c r="M1232" s="5">
        <f t="shared" si="296"/>
        <v>0</v>
      </c>
      <c r="N1232" s="5">
        <f t="shared" si="297"/>
        <v>0</v>
      </c>
    </row>
    <row r="1233" spans="1:14" s="13" customFormat="1" ht="31.5" x14ac:dyDescent="0.25">
      <c r="A1233" s="38">
        <v>19</v>
      </c>
      <c r="B1233" s="34" t="s">
        <v>983</v>
      </c>
      <c r="C1233" s="18" t="s">
        <v>260</v>
      </c>
      <c r="D1233" s="32" t="s">
        <v>2378</v>
      </c>
      <c r="E1233" s="5">
        <v>30.594000000000001</v>
      </c>
      <c r="F1233" s="5">
        <v>7.6999999999999999E-2</v>
      </c>
      <c r="G1233" s="5">
        <f t="shared" si="298"/>
        <v>30.671000000000003</v>
      </c>
      <c r="H1233" s="49">
        <v>65771.7</v>
      </c>
      <c r="I1233" s="49"/>
      <c r="J1233" s="5">
        <f t="shared" si="299"/>
        <v>65771.7</v>
      </c>
      <c r="K1233" s="5">
        <f t="shared" si="300"/>
        <v>2144.4263310619149</v>
      </c>
      <c r="L1233" s="5">
        <f t="shared" si="295"/>
        <v>0.63221865657622212</v>
      </c>
      <c r="M1233" s="5">
        <f t="shared" si="296"/>
        <v>0</v>
      </c>
      <c r="N1233" s="5">
        <f t="shared" si="297"/>
        <v>22286.5</v>
      </c>
    </row>
    <row r="1234" spans="1:14" s="13" customFormat="1" ht="15.75" x14ac:dyDescent="0.25">
      <c r="A1234" s="38">
        <v>19</v>
      </c>
      <c r="B1234" s="34" t="s">
        <v>983</v>
      </c>
      <c r="C1234" s="18" t="s">
        <v>261</v>
      </c>
      <c r="D1234" s="32" t="s">
        <v>2379</v>
      </c>
      <c r="E1234" s="5">
        <v>24.763000000000002</v>
      </c>
      <c r="F1234" s="5">
        <v>5.2999999999999999E-2</v>
      </c>
      <c r="G1234" s="5">
        <f t="shared" si="298"/>
        <v>24.816000000000003</v>
      </c>
      <c r="H1234" s="49">
        <v>42817.599999999999</v>
      </c>
      <c r="I1234" s="49"/>
      <c r="J1234" s="5">
        <f t="shared" si="299"/>
        <v>42817.599999999999</v>
      </c>
      <c r="K1234" s="5">
        <f t="shared" si="300"/>
        <v>1725.4029658284976</v>
      </c>
      <c r="L1234" s="5">
        <f t="shared" si="295"/>
        <v>0.50868240578287649</v>
      </c>
      <c r="M1234" s="5">
        <f t="shared" si="296"/>
        <v>0</v>
      </c>
      <c r="N1234" s="5">
        <f t="shared" si="297"/>
        <v>26350.9</v>
      </c>
    </row>
    <row r="1235" spans="1:14" s="13" customFormat="1" ht="15.75" x14ac:dyDescent="0.25">
      <c r="A1235" s="38">
        <v>19</v>
      </c>
      <c r="B1235" s="34" t="s">
        <v>983</v>
      </c>
      <c r="C1235" s="18" t="s">
        <v>424</v>
      </c>
      <c r="D1235" s="32" t="s">
        <v>2380</v>
      </c>
      <c r="E1235" s="5">
        <v>29.146000000000001</v>
      </c>
      <c r="F1235" s="5">
        <v>3.6999999999999998E-2</v>
      </c>
      <c r="G1235" s="5">
        <f t="shared" si="298"/>
        <v>29.183</v>
      </c>
      <c r="H1235" s="49">
        <v>47221.4</v>
      </c>
      <c r="I1235" s="49"/>
      <c r="J1235" s="5">
        <f t="shared" si="299"/>
        <v>47221.4</v>
      </c>
      <c r="K1235" s="5">
        <f t="shared" si="300"/>
        <v>1618.1132851317548</v>
      </c>
      <c r="L1235" s="5">
        <f t="shared" si="295"/>
        <v>0.47705131787276067</v>
      </c>
      <c r="M1235" s="5">
        <f t="shared" si="296"/>
        <v>0</v>
      </c>
      <c r="N1235" s="5">
        <f t="shared" si="297"/>
        <v>33492.800000000003</v>
      </c>
    </row>
    <row r="1236" spans="1:14" s="13" customFormat="1" ht="31.5" x14ac:dyDescent="0.25">
      <c r="A1236" s="38">
        <v>19</v>
      </c>
      <c r="B1236" s="34" t="s">
        <v>985</v>
      </c>
      <c r="C1236" s="18" t="s">
        <v>425</v>
      </c>
      <c r="D1236" s="32" t="s">
        <v>3102</v>
      </c>
      <c r="E1236" s="5">
        <v>17.469000000000001</v>
      </c>
      <c r="F1236" s="5">
        <v>1.4E-2</v>
      </c>
      <c r="G1236" s="5">
        <f t="shared" si="298"/>
        <v>17.483000000000001</v>
      </c>
      <c r="H1236" s="49">
        <v>18066.5</v>
      </c>
      <c r="I1236" s="49"/>
      <c r="J1236" s="5">
        <f t="shared" si="299"/>
        <v>18066.5</v>
      </c>
      <c r="K1236" s="5">
        <f t="shared" si="300"/>
        <v>1033.3752788423039</v>
      </c>
      <c r="L1236" s="5">
        <f t="shared" si="295"/>
        <v>0.3046591627166032</v>
      </c>
      <c r="M1236" s="5">
        <f t="shared" si="296"/>
        <v>0</v>
      </c>
      <c r="N1236" s="5">
        <f t="shared" si="297"/>
        <v>28243.3</v>
      </c>
    </row>
    <row r="1237" spans="1:14" s="13" customFormat="1" ht="31.5" x14ac:dyDescent="0.25">
      <c r="A1237" s="38">
        <v>19</v>
      </c>
      <c r="B1237" s="34" t="s">
        <v>985</v>
      </c>
      <c r="C1237" s="18" t="s">
        <v>426</v>
      </c>
      <c r="D1237" s="32" t="s">
        <v>2382</v>
      </c>
      <c r="E1237" s="5">
        <v>9.49</v>
      </c>
      <c r="F1237" s="5">
        <v>2E-3</v>
      </c>
      <c r="G1237" s="5">
        <f t="shared" si="298"/>
        <v>9.4920000000000009</v>
      </c>
      <c r="H1237" s="49">
        <v>15850.4</v>
      </c>
      <c r="I1237" s="49"/>
      <c r="J1237" s="5">
        <f t="shared" si="299"/>
        <v>15850.4</v>
      </c>
      <c r="K1237" s="5">
        <f t="shared" si="300"/>
        <v>1669.8693636746732</v>
      </c>
      <c r="L1237" s="5">
        <f t="shared" si="295"/>
        <v>0.49231001805382679</v>
      </c>
      <c r="M1237" s="5">
        <f t="shared" si="296"/>
        <v>0</v>
      </c>
      <c r="N1237" s="5">
        <f t="shared" si="297"/>
        <v>10500.8</v>
      </c>
    </row>
    <row r="1238" spans="1:14" s="13" customFormat="1" ht="31.5" x14ac:dyDescent="0.25">
      <c r="A1238" s="38">
        <v>19</v>
      </c>
      <c r="B1238" s="34" t="s">
        <v>985</v>
      </c>
      <c r="C1238" s="18" t="s">
        <v>427</v>
      </c>
      <c r="D1238" s="32" t="s">
        <v>2383</v>
      </c>
      <c r="E1238" s="5">
        <v>10.573</v>
      </c>
      <c r="F1238" s="5">
        <v>0</v>
      </c>
      <c r="G1238" s="5">
        <f t="shared" si="298"/>
        <v>10.573</v>
      </c>
      <c r="H1238" s="49">
        <v>13031</v>
      </c>
      <c r="I1238" s="49"/>
      <c r="J1238" s="5">
        <f t="shared" si="299"/>
        <v>13031</v>
      </c>
      <c r="K1238" s="5">
        <f t="shared" si="300"/>
        <v>1232.4789558308898</v>
      </c>
      <c r="L1238" s="5">
        <f t="shared" si="295"/>
        <v>0.36335880530249509</v>
      </c>
      <c r="M1238" s="5">
        <f t="shared" si="296"/>
        <v>0</v>
      </c>
      <c r="N1238" s="5">
        <f t="shared" si="297"/>
        <v>15396.3</v>
      </c>
    </row>
    <row r="1239" spans="1:14" ht="31.5" x14ac:dyDescent="0.25">
      <c r="A1239" s="38">
        <v>19</v>
      </c>
      <c r="B1239" s="34" t="s">
        <v>984</v>
      </c>
      <c r="C1239" s="18" t="s">
        <v>428</v>
      </c>
      <c r="D1239" s="32" t="s">
        <v>2384</v>
      </c>
      <c r="E1239" s="5">
        <v>3.9820000000000002</v>
      </c>
      <c r="F1239" s="5">
        <v>7.0000000000000001E-3</v>
      </c>
      <c r="G1239" s="5">
        <f t="shared" si="298"/>
        <v>3.9890000000000003</v>
      </c>
      <c r="H1239" s="49">
        <v>6197.5</v>
      </c>
      <c r="I1239" s="49"/>
      <c r="J1239" s="5">
        <f t="shared" si="299"/>
        <v>6197.5</v>
      </c>
      <c r="K1239" s="5">
        <f t="shared" si="300"/>
        <v>1553.6475307094508</v>
      </c>
      <c r="L1239" s="5">
        <f t="shared" si="295"/>
        <v>0.45804555765349536</v>
      </c>
      <c r="M1239" s="5">
        <f t="shared" si="296"/>
        <v>0</v>
      </c>
      <c r="N1239" s="5">
        <f t="shared" si="297"/>
        <v>4783.8</v>
      </c>
    </row>
    <row r="1240" spans="1:14" ht="31.5" x14ac:dyDescent="0.25">
      <c r="A1240" s="38">
        <v>19</v>
      </c>
      <c r="B1240" s="34" t="s">
        <v>984</v>
      </c>
      <c r="C1240" s="18" t="s">
        <v>429</v>
      </c>
      <c r="D1240" s="32" t="s">
        <v>2385</v>
      </c>
      <c r="E1240" s="5">
        <v>6.31</v>
      </c>
      <c r="F1240" s="5">
        <v>1.6E-2</v>
      </c>
      <c r="G1240" s="5">
        <f t="shared" si="298"/>
        <v>6.3259999999999996</v>
      </c>
      <c r="H1240" s="49">
        <v>10647.3</v>
      </c>
      <c r="I1240" s="49"/>
      <c r="J1240" s="5">
        <f t="shared" si="299"/>
        <v>10647.3</v>
      </c>
      <c r="K1240" s="5">
        <f t="shared" si="300"/>
        <v>1683.1014859310781</v>
      </c>
      <c r="L1240" s="5">
        <f t="shared" si="295"/>
        <v>0.49621110546141051</v>
      </c>
      <c r="M1240" s="5">
        <f t="shared" si="296"/>
        <v>0</v>
      </c>
      <c r="N1240" s="5">
        <f t="shared" si="297"/>
        <v>6931.3</v>
      </c>
    </row>
    <row r="1241" spans="1:14" ht="41.25" customHeight="1" x14ac:dyDescent="0.25">
      <c r="A1241" s="38">
        <v>19</v>
      </c>
      <c r="B1241" s="34" t="s">
        <v>984</v>
      </c>
      <c r="C1241" s="18" t="s">
        <v>430</v>
      </c>
      <c r="D1241" s="32" t="s">
        <v>2386</v>
      </c>
      <c r="E1241" s="5">
        <v>6.3040000000000003</v>
      </c>
      <c r="F1241" s="5">
        <v>1.4999999999999999E-2</v>
      </c>
      <c r="G1241" s="5">
        <f t="shared" si="298"/>
        <v>6.319</v>
      </c>
      <c r="H1241" s="49">
        <v>9508.9</v>
      </c>
      <c r="I1241" s="49"/>
      <c r="J1241" s="5">
        <f t="shared" si="299"/>
        <v>9508.9</v>
      </c>
      <c r="K1241" s="5">
        <f t="shared" si="300"/>
        <v>1504.8108877987022</v>
      </c>
      <c r="L1241" s="5">
        <f t="shared" si="295"/>
        <v>0.44364756396842586</v>
      </c>
      <c r="M1241" s="5">
        <f t="shared" si="296"/>
        <v>0</v>
      </c>
      <c r="N1241" s="5">
        <f t="shared" si="297"/>
        <v>7825</v>
      </c>
    </row>
    <row r="1242" spans="1:14" s="13" customFormat="1" ht="42.75" customHeight="1" x14ac:dyDescent="0.25">
      <c r="A1242" s="38">
        <v>19</v>
      </c>
      <c r="B1242" s="34" t="s">
        <v>984</v>
      </c>
      <c r="C1242" s="18" t="s">
        <v>431</v>
      </c>
      <c r="D1242" s="32" t="s">
        <v>3103</v>
      </c>
      <c r="E1242" s="5">
        <v>8.75</v>
      </c>
      <c r="F1242" s="5">
        <v>1.2E-2</v>
      </c>
      <c r="G1242" s="5">
        <f t="shared" si="298"/>
        <v>8.7620000000000005</v>
      </c>
      <c r="H1242" s="49">
        <v>25598.799999999999</v>
      </c>
      <c r="I1242" s="49"/>
      <c r="J1242" s="5">
        <f t="shared" ref="J1242:J1266" si="301">H1242+I1242</f>
        <v>25598.799999999999</v>
      </c>
      <c r="K1242" s="5">
        <f t="shared" ref="K1242:K1267" si="302">J1242/G1242</f>
        <v>2921.5704177128509</v>
      </c>
      <c r="L1242" s="5">
        <f t="shared" si="295"/>
        <v>0.86133587236106424</v>
      </c>
      <c r="M1242" s="5">
        <f t="shared" si="296"/>
        <v>0</v>
      </c>
      <c r="N1242" s="5">
        <f t="shared" si="297"/>
        <v>919.3</v>
      </c>
    </row>
    <row r="1243" spans="1:14" s="13" customFormat="1" ht="49.5" customHeight="1" x14ac:dyDescent="0.25">
      <c r="A1243" s="38">
        <v>19</v>
      </c>
      <c r="B1243" s="34" t="s">
        <v>984</v>
      </c>
      <c r="C1243" s="18" t="s">
        <v>621</v>
      </c>
      <c r="D1243" s="32" t="s">
        <v>3104</v>
      </c>
      <c r="E1243" s="5">
        <v>6.3949999999999996</v>
      </c>
      <c r="F1243" s="5">
        <v>1.7999999999999999E-2</v>
      </c>
      <c r="G1243" s="5">
        <f t="shared" si="298"/>
        <v>6.4129999999999994</v>
      </c>
      <c r="H1243" s="49">
        <v>7202.3</v>
      </c>
      <c r="I1243" s="49"/>
      <c r="J1243" s="5">
        <f t="shared" si="301"/>
        <v>7202.3</v>
      </c>
      <c r="K1243" s="5">
        <f t="shared" si="302"/>
        <v>1123.078122563543</v>
      </c>
      <c r="L1243" s="5">
        <f t="shared" si="295"/>
        <v>0.33110530848857062</v>
      </c>
      <c r="M1243" s="5">
        <f t="shared" si="296"/>
        <v>0</v>
      </c>
      <c r="N1243" s="5">
        <f t="shared" si="297"/>
        <v>9899.7999999999993</v>
      </c>
    </row>
    <row r="1244" spans="1:14" s="24" customFormat="1" ht="31.5" customHeight="1" x14ac:dyDescent="0.25">
      <c r="A1244" s="38">
        <v>19</v>
      </c>
      <c r="B1244" s="34" t="s">
        <v>983</v>
      </c>
      <c r="C1244" s="18" t="s">
        <v>622</v>
      </c>
      <c r="D1244" s="32" t="s">
        <v>2389</v>
      </c>
      <c r="E1244" s="5">
        <v>21.71</v>
      </c>
      <c r="F1244" s="5">
        <v>4.1000000000000002E-2</v>
      </c>
      <c r="G1244" s="5">
        <f t="shared" si="298"/>
        <v>21.751000000000001</v>
      </c>
      <c r="H1244" s="49">
        <v>43042</v>
      </c>
      <c r="I1244" s="49"/>
      <c r="J1244" s="5">
        <f t="shared" si="301"/>
        <v>43042</v>
      </c>
      <c r="K1244" s="5">
        <f t="shared" si="302"/>
        <v>1978.8515470553077</v>
      </c>
      <c r="L1244" s="5">
        <f t="shared" ref="L1244:L1267" si="303">K1244/$K$1659</f>
        <v>0.58340398479604572</v>
      </c>
      <c r="M1244" s="5">
        <f t="shared" ref="M1244:M1266" si="304">ROUND(IF(L1244&lt;110%,0,(K1244-$K$1659*1.1)*0.5)*G1244,1)</f>
        <v>0</v>
      </c>
      <c r="N1244" s="5">
        <f t="shared" ref="N1244:N1266" si="305">ROUND(IF(L1244&gt;90%,0,(-K1244+$K$1659*0.9)*0.8)*G1244,1)</f>
        <v>18686.099999999999</v>
      </c>
    </row>
    <row r="1245" spans="1:14" s="24" customFormat="1" ht="31.5" customHeight="1" x14ac:dyDescent="0.25">
      <c r="A1245" s="38">
        <v>19</v>
      </c>
      <c r="B1245" s="34" t="s">
        <v>983</v>
      </c>
      <c r="C1245" s="18" t="s">
        <v>623</v>
      </c>
      <c r="D1245" s="32" t="s">
        <v>2390</v>
      </c>
      <c r="E1245" s="5">
        <v>13.695</v>
      </c>
      <c r="F1245" s="5">
        <v>8.9999999999999993E-3</v>
      </c>
      <c r="G1245" s="5">
        <f t="shared" si="298"/>
        <v>13.704000000000001</v>
      </c>
      <c r="H1245" s="49">
        <v>28827</v>
      </c>
      <c r="I1245" s="49"/>
      <c r="J1245" s="5">
        <f t="shared" si="301"/>
        <v>28827</v>
      </c>
      <c r="K1245" s="5">
        <f t="shared" si="302"/>
        <v>2103.5464098073553</v>
      </c>
      <c r="L1245" s="5">
        <f t="shared" si="303"/>
        <v>0.6201664594351336</v>
      </c>
      <c r="M1245" s="5">
        <f t="shared" si="304"/>
        <v>0</v>
      </c>
      <c r="N1245" s="5">
        <f t="shared" si="305"/>
        <v>10405.9</v>
      </c>
    </row>
    <row r="1246" spans="1:14" s="24" customFormat="1" ht="31.5" customHeight="1" x14ac:dyDescent="0.25">
      <c r="A1246" s="38">
        <v>19</v>
      </c>
      <c r="B1246" s="34" t="s">
        <v>983</v>
      </c>
      <c r="C1246" s="18" t="s">
        <v>624</v>
      </c>
      <c r="D1246" s="32" t="s">
        <v>2391</v>
      </c>
      <c r="E1246" s="5">
        <v>19.262</v>
      </c>
      <c r="F1246" s="5">
        <v>1.7000000000000001E-2</v>
      </c>
      <c r="G1246" s="5">
        <f t="shared" si="298"/>
        <v>19.279</v>
      </c>
      <c r="H1246" s="49">
        <v>41506.6</v>
      </c>
      <c r="I1246" s="49"/>
      <c r="J1246" s="5">
        <f t="shared" si="301"/>
        <v>41506.6</v>
      </c>
      <c r="K1246" s="5">
        <f t="shared" si="302"/>
        <v>2152.9436174075418</v>
      </c>
      <c r="L1246" s="5">
        <f t="shared" si="303"/>
        <v>0.63472971851064675</v>
      </c>
      <c r="M1246" s="5">
        <f t="shared" si="304"/>
        <v>0</v>
      </c>
      <c r="N1246" s="5">
        <f t="shared" si="305"/>
        <v>13877.4</v>
      </c>
    </row>
    <row r="1247" spans="1:14" s="24" customFormat="1" ht="21" customHeight="1" x14ac:dyDescent="0.25">
      <c r="A1247" s="38">
        <v>19</v>
      </c>
      <c r="B1247" s="34" t="s">
        <v>985</v>
      </c>
      <c r="C1247" s="18">
        <v>19542000000</v>
      </c>
      <c r="D1247" s="32" t="s">
        <v>3105</v>
      </c>
      <c r="E1247" s="5">
        <v>18.343</v>
      </c>
      <c r="F1247" s="5">
        <v>2.8000000000000001E-2</v>
      </c>
      <c r="G1247" s="5">
        <f t="shared" si="298"/>
        <v>18.370999999999999</v>
      </c>
      <c r="H1247" s="49">
        <v>19927.8</v>
      </c>
      <c r="I1247" s="49"/>
      <c r="J1247" s="5">
        <f t="shared" si="301"/>
        <v>19927.8</v>
      </c>
      <c r="K1247" s="5">
        <f t="shared" si="302"/>
        <v>1084.7422568178108</v>
      </c>
      <c r="L1247" s="5">
        <f t="shared" si="303"/>
        <v>0.3198031484705805</v>
      </c>
      <c r="M1247" s="5">
        <f t="shared" si="304"/>
        <v>0</v>
      </c>
      <c r="N1247" s="5">
        <f t="shared" si="305"/>
        <v>28922.9</v>
      </c>
    </row>
    <row r="1248" spans="1:14" s="24" customFormat="1" ht="21" customHeight="1" x14ac:dyDescent="0.25">
      <c r="A1248" s="38">
        <v>19</v>
      </c>
      <c r="B1248" s="34" t="s">
        <v>984</v>
      </c>
      <c r="C1248" s="18">
        <v>19543000000</v>
      </c>
      <c r="D1248" s="32" t="s">
        <v>2393</v>
      </c>
      <c r="E1248" s="5">
        <v>10.875</v>
      </c>
      <c r="F1248" s="5">
        <v>1.9E-2</v>
      </c>
      <c r="G1248" s="5">
        <f t="shared" si="298"/>
        <v>10.894</v>
      </c>
      <c r="H1248" s="49">
        <v>25939.3</v>
      </c>
      <c r="I1248" s="49"/>
      <c r="J1248" s="5">
        <f t="shared" si="301"/>
        <v>25939.3</v>
      </c>
      <c r="K1248" s="5">
        <f t="shared" si="302"/>
        <v>2381.0629704424455</v>
      </c>
      <c r="L1248" s="5">
        <f t="shared" si="303"/>
        <v>0.70198374763056792</v>
      </c>
      <c r="M1248" s="5">
        <f t="shared" si="304"/>
        <v>0</v>
      </c>
      <c r="N1248" s="5">
        <f t="shared" si="305"/>
        <v>5853.6</v>
      </c>
    </row>
    <row r="1249" spans="1:14" s="24" customFormat="1" ht="21" customHeight="1" x14ac:dyDescent="0.25">
      <c r="A1249" s="38">
        <v>19</v>
      </c>
      <c r="B1249" s="34" t="s">
        <v>983</v>
      </c>
      <c r="C1249" s="18">
        <v>19544000000</v>
      </c>
      <c r="D1249" s="32" t="s">
        <v>2394</v>
      </c>
      <c r="E1249" s="5">
        <v>13.15</v>
      </c>
      <c r="F1249" s="5">
        <v>1.9E-2</v>
      </c>
      <c r="G1249" s="5">
        <f t="shared" si="298"/>
        <v>13.169</v>
      </c>
      <c r="H1249" s="49">
        <v>16411.699999999997</v>
      </c>
      <c r="I1249" s="49"/>
      <c r="J1249" s="5">
        <f t="shared" si="301"/>
        <v>16411.699999999997</v>
      </c>
      <c r="K1249" s="5">
        <f t="shared" si="302"/>
        <v>1246.2373756549468</v>
      </c>
      <c r="L1249" s="5">
        <f t="shared" si="303"/>
        <v>0.36741505548548442</v>
      </c>
      <c r="M1249" s="5">
        <f t="shared" si="304"/>
        <v>0</v>
      </c>
      <c r="N1249" s="5">
        <f t="shared" si="305"/>
        <v>19031.599999999999</v>
      </c>
    </row>
    <row r="1250" spans="1:14" s="24" customFormat="1" ht="21" customHeight="1" x14ac:dyDescent="0.25">
      <c r="A1250" s="38">
        <v>19</v>
      </c>
      <c r="B1250" s="34" t="s">
        <v>984</v>
      </c>
      <c r="C1250" s="18">
        <v>19545000000</v>
      </c>
      <c r="D1250" s="32" t="s">
        <v>2395</v>
      </c>
      <c r="E1250" s="5">
        <v>3.8090000000000002</v>
      </c>
      <c r="F1250" s="5">
        <v>1E-3</v>
      </c>
      <c r="G1250" s="5">
        <f t="shared" si="298"/>
        <v>3.81</v>
      </c>
      <c r="H1250" s="49">
        <v>5664.4000000000005</v>
      </c>
      <c r="I1250" s="49"/>
      <c r="J1250" s="5">
        <f t="shared" si="301"/>
        <v>5664.4000000000005</v>
      </c>
      <c r="K1250" s="5">
        <f t="shared" si="302"/>
        <v>1486.7191601049869</v>
      </c>
      <c r="L1250" s="5">
        <f t="shared" si="303"/>
        <v>0.43831377021109991</v>
      </c>
      <c r="M1250" s="5">
        <f t="shared" si="304"/>
        <v>0</v>
      </c>
      <c r="N1250" s="5">
        <f t="shared" si="305"/>
        <v>4773.2</v>
      </c>
    </row>
    <row r="1251" spans="1:14" s="24" customFormat="1" ht="21" customHeight="1" x14ac:dyDescent="0.25">
      <c r="A1251" s="38">
        <v>19</v>
      </c>
      <c r="B1251" s="34" t="s">
        <v>983</v>
      </c>
      <c r="C1251" s="18">
        <v>19546000000</v>
      </c>
      <c r="D1251" s="32" t="s">
        <v>2396</v>
      </c>
      <c r="E1251" s="5">
        <v>19.356999999999999</v>
      </c>
      <c r="F1251" s="5">
        <v>1.2E-2</v>
      </c>
      <c r="G1251" s="5">
        <f t="shared" si="298"/>
        <v>19.369</v>
      </c>
      <c r="H1251" s="49">
        <v>28747.3</v>
      </c>
      <c r="I1251" s="49"/>
      <c r="J1251" s="5">
        <f t="shared" si="301"/>
        <v>28747.3</v>
      </c>
      <c r="K1251" s="5">
        <f t="shared" si="302"/>
        <v>1484.1912334142187</v>
      </c>
      <c r="L1251" s="5">
        <f t="shared" si="303"/>
        <v>0.43756848817776034</v>
      </c>
      <c r="M1251" s="5">
        <f t="shared" si="304"/>
        <v>0</v>
      </c>
      <c r="N1251" s="5">
        <f t="shared" si="305"/>
        <v>24304.6</v>
      </c>
    </row>
    <row r="1252" spans="1:14" s="24" customFormat="1" ht="21" customHeight="1" x14ac:dyDescent="0.25">
      <c r="A1252" s="38">
        <v>19</v>
      </c>
      <c r="B1252" s="34" t="s">
        <v>986</v>
      </c>
      <c r="C1252" s="18">
        <v>19548000000</v>
      </c>
      <c r="D1252" s="32" t="s">
        <v>3106</v>
      </c>
      <c r="E1252" s="5">
        <v>26.591999999999999</v>
      </c>
      <c r="F1252" s="5">
        <v>3.1E-2</v>
      </c>
      <c r="G1252" s="5">
        <f t="shared" si="298"/>
        <v>26.622999999999998</v>
      </c>
      <c r="H1252" s="49">
        <v>49767</v>
      </c>
      <c r="I1252" s="49"/>
      <c r="J1252" s="5">
        <f t="shared" si="301"/>
        <v>49767</v>
      </c>
      <c r="K1252" s="5">
        <f t="shared" si="302"/>
        <v>1869.3235172595125</v>
      </c>
      <c r="L1252" s="5">
        <f t="shared" si="303"/>
        <v>0.55111298796770158</v>
      </c>
      <c r="M1252" s="5">
        <f t="shared" si="304"/>
        <v>0</v>
      </c>
      <c r="N1252" s="5">
        <f t="shared" si="305"/>
        <v>25204.400000000001</v>
      </c>
    </row>
    <row r="1253" spans="1:14" s="24" customFormat="1" ht="21" customHeight="1" x14ac:dyDescent="0.25">
      <c r="A1253" s="38">
        <v>19</v>
      </c>
      <c r="B1253" s="34" t="s">
        <v>986</v>
      </c>
      <c r="C1253" s="18">
        <v>19549000000</v>
      </c>
      <c r="D1253" s="32" t="s">
        <v>3107</v>
      </c>
      <c r="E1253" s="5">
        <v>226.59399999999999</v>
      </c>
      <c r="F1253" s="5">
        <v>1.042</v>
      </c>
      <c r="G1253" s="5">
        <f t="shared" si="298"/>
        <v>227.636</v>
      </c>
      <c r="H1253" s="49">
        <v>1039505.7</v>
      </c>
      <c r="I1253" s="49"/>
      <c r="J1253" s="5">
        <f t="shared" si="301"/>
        <v>1039505.7</v>
      </c>
      <c r="K1253" s="5">
        <f t="shared" si="302"/>
        <v>4566.5259449296245</v>
      </c>
      <c r="L1253" s="5">
        <f t="shared" si="303"/>
        <v>1.3463008060968054</v>
      </c>
      <c r="M1253" s="5">
        <f t="shared" si="304"/>
        <v>95086.9</v>
      </c>
      <c r="N1253" s="5">
        <f t="shared" si="305"/>
        <v>0</v>
      </c>
    </row>
    <row r="1254" spans="1:14" s="24" customFormat="1" ht="21" customHeight="1" x14ac:dyDescent="0.25">
      <c r="A1254" s="38">
        <v>19</v>
      </c>
      <c r="B1254" s="34" t="s">
        <v>985</v>
      </c>
      <c r="C1254" s="18">
        <v>19550000000</v>
      </c>
      <c r="D1254" s="67" t="s">
        <v>3108</v>
      </c>
      <c r="E1254" s="5">
        <v>5.9850000000000003</v>
      </c>
      <c r="F1254" s="5">
        <v>5.0000000000000001E-3</v>
      </c>
      <c r="G1254" s="5">
        <f t="shared" si="298"/>
        <v>5.99</v>
      </c>
      <c r="H1254" s="49">
        <v>21432.9</v>
      </c>
      <c r="I1254" s="49"/>
      <c r="J1254" s="5">
        <f t="shared" si="301"/>
        <v>21432.9</v>
      </c>
      <c r="K1254" s="5">
        <f t="shared" si="302"/>
        <v>3578.1135225375629</v>
      </c>
      <c r="L1254" s="5">
        <f t="shared" si="303"/>
        <v>1.0548975693539915</v>
      </c>
      <c r="M1254" s="5">
        <f t="shared" si="304"/>
        <v>0</v>
      </c>
      <c r="N1254" s="5">
        <f t="shared" si="305"/>
        <v>0</v>
      </c>
    </row>
    <row r="1255" spans="1:14" s="24" customFormat="1" ht="21" customHeight="1" x14ac:dyDescent="0.25">
      <c r="A1255" s="38">
        <v>19</v>
      </c>
      <c r="B1255" s="34" t="s">
        <v>984</v>
      </c>
      <c r="C1255" s="18">
        <v>19553000000</v>
      </c>
      <c r="D1255" s="32" t="s">
        <v>3109</v>
      </c>
      <c r="E1255" s="86">
        <v>6.7469999999999999</v>
      </c>
      <c r="F1255" s="86">
        <v>7.0000000000000001E-3</v>
      </c>
      <c r="G1255" s="86">
        <f>F1255+E1255</f>
        <v>6.7539999999999996</v>
      </c>
      <c r="H1255" s="86">
        <v>7978.9</v>
      </c>
      <c r="I1255" s="86"/>
      <c r="J1255" s="5">
        <f t="shared" si="301"/>
        <v>7978.9</v>
      </c>
      <c r="K1255" s="5">
        <f t="shared" si="302"/>
        <v>1181.359194551377</v>
      </c>
      <c r="L1255" s="5">
        <f t="shared" si="303"/>
        <v>0.34828770384636509</v>
      </c>
      <c r="M1255" s="5">
        <f t="shared" si="304"/>
        <v>0</v>
      </c>
      <c r="N1255" s="5">
        <f t="shared" si="305"/>
        <v>10111.299999999999</v>
      </c>
    </row>
    <row r="1256" spans="1:14" s="24" customFormat="1" ht="34.5" customHeight="1" x14ac:dyDescent="0.25">
      <c r="A1256" s="38">
        <v>19</v>
      </c>
      <c r="B1256" s="34" t="s">
        <v>986</v>
      </c>
      <c r="C1256" s="18">
        <v>19554000000</v>
      </c>
      <c r="D1256" s="32" t="s">
        <v>3110</v>
      </c>
      <c r="E1256" s="5">
        <v>36.631999999999998</v>
      </c>
      <c r="F1256" s="5">
        <v>5.7000000000000002E-2</v>
      </c>
      <c r="G1256" s="5">
        <f t="shared" si="298"/>
        <v>36.689</v>
      </c>
      <c r="H1256" s="49">
        <v>108599.7</v>
      </c>
      <c r="I1256" s="49"/>
      <c r="J1256" s="5">
        <f t="shared" si="301"/>
        <v>108599.7</v>
      </c>
      <c r="K1256" s="5">
        <f t="shared" si="302"/>
        <v>2960.0070865927114</v>
      </c>
      <c r="L1256" s="5">
        <f t="shared" si="303"/>
        <v>0.87266775110667594</v>
      </c>
      <c r="M1256" s="5">
        <f t="shared" si="304"/>
        <v>0</v>
      </c>
      <c r="N1256" s="5">
        <f t="shared" si="305"/>
        <v>2721.1</v>
      </c>
    </row>
    <row r="1257" spans="1:14" s="24" customFormat="1" ht="21" customHeight="1" x14ac:dyDescent="0.25">
      <c r="A1257" s="38">
        <v>19</v>
      </c>
      <c r="B1257" s="34" t="s">
        <v>983</v>
      </c>
      <c r="C1257" s="18">
        <v>19555000000</v>
      </c>
      <c r="D1257" s="80" t="s">
        <v>2402</v>
      </c>
      <c r="E1257" s="86">
        <v>37.886000000000003</v>
      </c>
      <c r="F1257" s="86">
        <v>3.1E-2</v>
      </c>
      <c r="G1257" s="86">
        <f t="shared" ref="G1257:G1266" si="306">F1257+E1257</f>
        <v>37.917000000000002</v>
      </c>
      <c r="H1257" s="86">
        <v>59684.7</v>
      </c>
      <c r="I1257" s="86"/>
      <c r="J1257" s="5">
        <f t="shared" si="301"/>
        <v>59684.7</v>
      </c>
      <c r="K1257" s="5">
        <f t="shared" si="302"/>
        <v>1574.0881398844845</v>
      </c>
      <c r="L1257" s="5">
        <f t="shared" si="303"/>
        <v>0.4640718474285514</v>
      </c>
      <c r="M1257" s="5">
        <f t="shared" si="304"/>
        <v>0</v>
      </c>
      <c r="N1257" s="5">
        <f t="shared" si="305"/>
        <v>44852.1</v>
      </c>
    </row>
    <row r="1258" spans="1:14" s="24" customFormat="1" ht="25.5" customHeight="1" x14ac:dyDescent="0.25">
      <c r="A1258" s="38">
        <v>19</v>
      </c>
      <c r="B1258" s="34" t="s">
        <v>985</v>
      </c>
      <c r="C1258" s="18">
        <v>19556000000</v>
      </c>
      <c r="D1258" s="80" t="s">
        <v>2403</v>
      </c>
      <c r="E1258" s="86">
        <v>23.173999999999999</v>
      </c>
      <c r="F1258" s="86">
        <v>0.08</v>
      </c>
      <c r="G1258" s="86">
        <f t="shared" si="306"/>
        <v>23.253999999999998</v>
      </c>
      <c r="H1258" s="86">
        <v>57528.4</v>
      </c>
      <c r="I1258" s="86"/>
      <c r="J1258" s="5">
        <f t="shared" si="301"/>
        <v>57528.4</v>
      </c>
      <c r="K1258" s="5">
        <f t="shared" si="302"/>
        <v>2473.9141653048941</v>
      </c>
      <c r="L1258" s="5">
        <f t="shared" si="303"/>
        <v>0.72935808864995144</v>
      </c>
      <c r="M1258" s="5">
        <f t="shared" si="304"/>
        <v>0</v>
      </c>
      <c r="N1258" s="5">
        <f t="shared" si="305"/>
        <v>10767.6</v>
      </c>
    </row>
    <row r="1259" spans="1:14" s="13" customFormat="1" ht="28.5" customHeight="1" x14ac:dyDescent="0.25">
      <c r="A1259" s="38">
        <v>19</v>
      </c>
      <c r="B1259" s="34" t="s">
        <v>983</v>
      </c>
      <c r="C1259" s="18">
        <v>19557000000</v>
      </c>
      <c r="D1259" s="80" t="s">
        <v>2404</v>
      </c>
      <c r="E1259" s="86">
        <v>26.994</v>
      </c>
      <c r="F1259" s="86">
        <v>5.8999999999999997E-2</v>
      </c>
      <c r="G1259" s="86">
        <f t="shared" si="306"/>
        <v>27.053000000000001</v>
      </c>
      <c r="H1259" s="86">
        <v>47165.5</v>
      </c>
      <c r="I1259" s="86"/>
      <c r="J1259" s="5">
        <f t="shared" si="301"/>
        <v>47165.5</v>
      </c>
      <c r="K1259" s="5">
        <f t="shared" si="302"/>
        <v>1743.4480464273831</v>
      </c>
      <c r="L1259" s="5">
        <f t="shared" si="303"/>
        <v>0.51400244706794485</v>
      </c>
      <c r="M1259" s="5">
        <f t="shared" si="304"/>
        <v>0</v>
      </c>
      <c r="N1259" s="5">
        <f t="shared" si="305"/>
        <v>28335.7</v>
      </c>
    </row>
    <row r="1260" spans="1:14" s="13" customFormat="1" ht="31.5" customHeight="1" x14ac:dyDescent="0.25">
      <c r="A1260" s="38">
        <v>19</v>
      </c>
      <c r="B1260" s="34" t="s">
        <v>983</v>
      </c>
      <c r="C1260" s="18">
        <v>19558000000</v>
      </c>
      <c r="D1260" s="80" t="s">
        <v>2405</v>
      </c>
      <c r="E1260" s="86">
        <v>38.914999999999999</v>
      </c>
      <c r="F1260" s="86">
        <v>2.1999999999999999E-2</v>
      </c>
      <c r="G1260" s="86">
        <f t="shared" si="306"/>
        <v>38.936999999999998</v>
      </c>
      <c r="H1260" s="86">
        <v>72009.399999999994</v>
      </c>
      <c r="I1260" s="86"/>
      <c r="J1260" s="5">
        <f t="shared" si="301"/>
        <v>72009.399999999994</v>
      </c>
      <c r="K1260" s="5">
        <f t="shared" si="302"/>
        <v>1849.3823355677118</v>
      </c>
      <c r="L1260" s="5">
        <f t="shared" si="303"/>
        <v>0.54523393914372564</v>
      </c>
      <c r="M1260" s="5">
        <f t="shared" si="304"/>
        <v>0</v>
      </c>
      <c r="N1260" s="5">
        <f t="shared" si="305"/>
        <v>37483.300000000003</v>
      </c>
    </row>
    <row r="1261" spans="1:14" s="13" customFormat="1" ht="21" customHeight="1" x14ac:dyDescent="0.25">
      <c r="A1261" s="38">
        <v>19</v>
      </c>
      <c r="B1261" s="34" t="s">
        <v>984</v>
      </c>
      <c r="C1261" s="18">
        <v>19559000000</v>
      </c>
      <c r="D1261" s="80" t="s">
        <v>2406</v>
      </c>
      <c r="E1261" s="86">
        <v>4.8310000000000004</v>
      </c>
      <c r="F1261" s="86">
        <v>4.0000000000000001E-3</v>
      </c>
      <c r="G1261" s="86">
        <f t="shared" si="306"/>
        <v>4.835</v>
      </c>
      <c r="H1261" s="86">
        <v>3636.2</v>
      </c>
      <c r="I1261" s="86"/>
      <c r="J1261" s="5">
        <f t="shared" si="301"/>
        <v>3636.2</v>
      </c>
      <c r="K1261" s="5">
        <f t="shared" si="302"/>
        <v>752.05791106514994</v>
      </c>
      <c r="L1261" s="5">
        <f t="shared" si="303"/>
        <v>0.22172132253462859</v>
      </c>
      <c r="M1261" s="5">
        <f t="shared" si="304"/>
        <v>0</v>
      </c>
      <c r="N1261" s="5">
        <f t="shared" si="305"/>
        <v>8898.9</v>
      </c>
    </row>
    <row r="1262" spans="1:14" s="13" customFormat="1" ht="28.5" customHeight="1" x14ac:dyDescent="0.25">
      <c r="A1262" s="38">
        <v>19</v>
      </c>
      <c r="B1262" s="34" t="s">
        <v>985</v>
      </c>
      <c r="C1262" s="18">
        <v>19560000000</v>
      </c>
      <c r="D1262" s="80" t="s">
        <v>2407</v>
      </c>
      <c r="E1262" s="86">
        <v>25.053000000000001</v>
      </c>
      <c r="F1262" s="86">
        <v>2.7E-2</v>
      </c>
      <c r="G1262" s="86">
        <f t="shared" si="306"/>
        <v>25.080000000000002</v>
      </c>
      <c r="H1262" s="86">
        <v>61568.7</v>
      </c>
      <c r="I1262" s="86"/>
      <c r="J1262" s="5">
        <f t="shared" si="301"/>
        <v>61568.7</v>
      </c>
      <c r="K1262" s="5">
        <f t="shared" si="302"/>
        <v>2454.8923444976072</v>
      </c>
      <c r="L1262" s="5">
        <f t="shared" si="303"/>
        <v>0.72375008532420348</v>
      </c>
      <c r="M1262" s="5">
        <f t="shared" si="304"/>
        <v>0</v>
      </c>
      <c r="N1262" s="5">
        <f t="shared" si="305"/>
        <v>11994.7</v>
      </c>
    </row>
    <row r="1263" spans="1:14" s="13" customFormat="1" ht="21" customHeight="1" x14ac:dyDescent="0.25">
      <c r="A1263" s="38">
        <v>19</v>
      </c>
      <c r="B1263" s="34" t="s">
        <v>986</v>
      </c>
      <c r="C1263" s="18">
        <v>19561000000</v>
      </c>
      <c r="D1263" s="80" t="s">
        <v>2408</v>
      </c>
      <c r="E1263" s="86">
        <v>42.064</v>
      </c>
      <c r="F1263" s="86">
        <v>0.06</v>
      </c>
      <c r="G1263" s="86">
        <f t="shared" si="306"/>
        <v>42.124000000000002</v>
      </c>
      <c r="H1263" s="86">
        <v>79815.899999999994</v>
      </c>
      <c r="I1263" s="86"/>
      <c r="J1263" s="5">
        <f t="shared" si="301"/>
        <v>79815.899999999994</v>
      </c>
      <c r="K1263" s="5">
        <f t="shared" si="302"/>
        <v>1894.7844459215646</v>
      </c>
      <c r="L1263" s="5">
        <f t="shared" si="303"/>
        <v>0.55861936572511994</v>
      </c>
      <c r="M1263" s="5">
        <f t="shared" si="304"/>
        <v>0</v>
      </c>
      <c r="N1263" s="5">
        <f t="shared" si="305"/>
        <v>39021.4</v>
      </c>
    </row>
    <row r="1264" spans="1:14" s="13" customFormat="1" ht="21" customHeight="1" x14ac:dyDescent="0.25">
      <c r="A1264" s="38">
        <v>19</v>
      </c>
      <c r="B1264" s="34" t="s">
        <v>984</v>
      </c>
      <c r="C1264" s="18">
        <v>19562000000</v>
      </c>
      <c r="D1264" s="80" t="s">
        <v>2409</v>
      </c>
      <c r="E1264" s="86">
        <v>8.6129999999999995</v>
      </c>
      <c r="F1264" s="86">
        <v>2.1999999999999999E-2</v>
      </c>
      <c r="G1264" s="86">
        <f t="shared" si="306"/>
        <v>8.6349999999999998</v>
      </c>
      <c r="H1264" s="86">
        <v>12387.2</v>
      </c>
      <c r="I1264" s="86"/>
      <c r="J1264" s="5">
        <f t="shared" si="301"/>
        <v>12387.2</v>
      </c>
      <c r="K1264" s="5">
        <f t="shared" si="302"/>
        <v>1434.5338737695427</v>
      </c>
      <c r="L1264" s="5">
        <f t="shared" si="303"/>
        <v>0.42292853121167845</v>
      </c>
      <c r="M1264" s="5">
        <f t="shared" si="304"/>
        <v>0</v>
      </c>
      <c r="N1264" s="5">
        <f t="shared" si="305"/>
        <v>11178.4</v>
      </c>
    </row>
    <row r="1265" spans="1:14" ht="30.75" customHeight="1" x14ac:dyDescent="0.25">
      <c r="A1265" s="38">
        <v>19</v>
      </c>
      <c r="B1265" s="34" t="s">
        <v>983</v>
      </c>
      <c r="C1265" s="18">
        <v>19563000000</v>
      </c>
      <c r="D1265" s="80" t="s">
        <v>2410</v>
      </c>
      <c r="E1265" s="86">
        <v>16.483000000000001</v>
      </c>
      <c r="F1265" s="86">
        <v>3.1E-2</v>
      </c>
      <c r="G1265" s="86">
        <f t="shared" si="306"/>
        <v>16.513999999999999</v>
      </c>
      <c r="H1265" s="86">
        <v>47153.9</v>
      </c>
      <c r="I1265" s="86"/>
      <c r="J1265" s="5">
        <f t="shared" si="301"/>
        <v>47153.9</v>
      </c>
      <c r="K1265" s="5">
        <f t="shared" si="302"/>
        <v>2855.3893665980381</v>
      </c>
      <c r="L1265" s="5">
        <f t="shared" si="303"/>
        <v>0.84182440926226443</v>
      </c>
      <c r="M1265" s="5">
        <f t="shared" si="304"/>
        <v>0</v>
      </c>
      <c r="N1265" s="5">
        <f t="shared" si="305"/>
        <v>2606.9</v>
      </c>
    </row>
    <row r="1266" spans="1:14" ht="21" customHeight="1" x14ac:dyDescent="0.25">
      <c r="A1266" s="38">
        <v>19</v>
      </c>
      <c r="B1266" s="34" t="s">
        <v>984</v>
      </c>
      <c r="C1266" s="18">
        <v>19564000000</v>
      </c>
      <c r="D1266" s="80" t="s">
        <v>2411</v>
      </c>
      <c r="E1266" s="86">
        <v>7.3460000000000001</v>
      </c>
      <c r="F1266" s="86">
        <v>1.2999999999999999E-2</v>
      </c>
      <c r="G1266" s="86">
        <f t="shared" si="306"/>
        <v>7.359</v>
      </c>
      <c r="H1266" s="86">
        <v>11595.4</v>
      </c>
      <c r="I1266" s="86"/>
      <c r="J1266" s="5">
        <f t="shared" si="301"/>
        <v>11595.4</v>
      </c>
      <c r="K1266" s="5">
        <f t="shared" si="302"/>
        <v>1575.676042940617</v>
      </c>
      <c r="L1266" s="5">
        <f t="shared" si="303"/>
        <v>0.46453999218240932</v>
      </c>
      <c r="M1266" s="5">
        <f t="shared" si="304"/>
        <v>0</v>
      </c>
      <c r="N1266" s="5">
        <f t="shared" si="305"/>
        <v>8695.6</v>
      </c>
    </row>
    <row r="1267" spans="1:14" ht="31.5" customHeight="1" x14ac:dyDescent="0.25">
      <c r="A1267" s="36">
        <v>20</v>
      </c>
      <c r="B1267" s="17" t="s">
        <v>7</v>
      </c>
      <c r="C1267" s="17" t="s">
        <v>811</v>
      </c>
      <c r="D1267" s="11" t="s">
        <v>22</v>
      </c>
      <c r="E1267" s="11">
        <f t="shared" ref="E1267:J1267" si="307">E1268+E1269+E1277</f>
        <v>2633.8339999999998</v>
      </c>
      <c r="F1267" s="11">
        <f t="shared" si="307"/>
        <v>138.13000000000002</v>
      </c>
      <c r="G1267" s="11">
        <f t="shared" si="307"/>
        <v>2747.8620000000005</v>
      </c>
      <c r="H1267" s="11">
        <f t="shared" si="307"/>
        <v>9821119.600370001</v>
      </c>
      <c r="I1267" s="11">
        <f t="shared" si="307"/>
        <v>2753.103689999999</v>
      </c>
      <c r="J1267" s="11">
        <f t="shared" si="307"/>
        <v>9823872.7040600013</v>
      </c>
      <c r="K1267" s="11">
        <f t="shared" si="302"/>
        <v>3575.0968222057727</v>
      </c>
      <c r="L1267" s="11">
        <f t="shared" si="303"/>
        <v>1.0540081873297964</v>
      </c>
      <c r="M1267" s="11">
        <f>M1268+M1269+M1277</f>
        <v>450496.10000000003</v>
      </c>
      <c r="N1267" s="11">
        <f>N1268+N1269+N1277</f>
        <v>510509.8</v>
      </c>
    </row>
    <row r="1268" spans="1:14" ht="21" customHeight="1" x14ac:dyDescent="0.25">
      <c r="A1268" s="38">
        <v>20</v>
      </c>
      <c r="B1268" s="34" t="s">
        <v>6</v>
      </c>
      <c r="C1268" s="18" t="s">
        <v>177</v>
      </c>
      <c r="D1268" s="32" t="s">
        <v>858</v>
      </c>
      <c r="E1268" s="5">
        <v>0</v>
      </c>
      <c r="F1268" s="5">
        <v>24.102</v>
      </c>
      <c r="G1268" s="5"/>
      <c r="H1268" s="49"/>
      <c r="I1268" s="49"/>
      <c r="J1268" s="5"/>
      <c r="K1268" s="5"/>
      <c r="L1268" s="5"/>
      <c r="M1268" s="5"/>
      <c r="N1268" s="5"/>
    </row>
    <row r="1269" spans="1:14" ht="21" customHeight="1" x14ac:dyDescent="0.25">
      <c r="A1269" s="37">
        <v>20</v>
      </c>
      <c r="B1269" s="19" t="s">
        <v>5</v>
      </c>
      <c r="C1269" s="19" t="s">
        <v>812</v>
      </c>
      <c r="D1269" s="7" t="s">
        <v>2813</v>
      </c>
      <c r="E1269" s="7">
        <f t="shared" ref="E1269:N1269" si="308">SUM(E1270:E1276)</f>
        <v>0</v>
      </c>
      <c r="F1269" s="7">
        <f t="shared" si="308"/>
        <v>0</v>
      </c>
      <c r="G1269" s="7">
        <f t="shared" si="308"/>
        <v>0</v>
      </c>
      <c r="H1269" s="7">
        <f t="shared" si="308"/>
        <v>0</v>
      </c>
      <c r="I1269" s="7">
        <f t="shared" si="308"/>
        <v>0</v>
      </c>
      <c r="J1269" s="7">
        <f t="shared" si="308"/>
        <v>0</v>
      </c>
      <c r="K1269" s="7">
        <f t="shared" si="308"/>
        <v>0</v>
      </c>
      <c r="L1269" s="7">
        <f t="shared" si="308"/>
        <v>0</v>
      </c>
      <c r="M1269" s="7">
        <f t="shared" si="308"/>
        <v>0</v>
      </c>
      <c r="N1269" s="7">
        <f t="shared" si="308"/>
        <v>0</v>
      </c>
    </row>
    <row r="1270" spans="1:14" ht="21" customHeight="1" x14ac:dyDescent="0.25">
      <c r="A1270" s="38">
        <v>20</v>
      </c>
      <c r="B1270" s="34" t="s">
        <v>4</v>
      </c>
      <c r="C1270" s="18" t="s">
        <v>2756</v>
      </c>
      <c r="D1270" s="32" t="s">
        <v>2757</v>
      </c>
      <c r="E1270" s="5"/>
      <c r="F1270" s="5"/>
      <c r="G1270" s="5"/>
      <c r="H1270" s="49"/>
      <c r="I1270" s="49"/>
      <c r="J1270" s="5"/>
      <c r="K1270" s="5"/>
      <c r="L1270" s="5"/>
      <c r="M1270" s="5"/>
      <c r="N1270" s="5"/>
    </row>
    <row r="1271" spans="1:14" ht="21" customHeight="1" x14ac:dyDescent="0.25">
      <c r="A1271" s="38">
        <v>20</v>
      </c>
      <c r="B1271" s="34" t="s">
        <v>4</v>
      </c>
      <c r="C1271" s="18" t="s">
        <v>178</v>
      </c>
      <c r="D1271" s="32" t="s">
        <v>952</v>
      </c>
      <c r="E1271" s="5"/>
      <c r="F1271" s="5"/>
      <c r="G1271" s="5"/>
      <c r="H1271" s="49"/>
      <c r="I1271" s="49"/>
      <c r="J1271" s="5"/>
      <c r="K1271" s="5"/>
      <c r="L1271" s="5"/>
      <c r="M1271" s="5"/>
      <c r="N1271" s="5"/>
    </row>
    <row r="1272" spans="1:14" ht="21" customHeight="1" x14ac:dyDescent="0.25">
      <c r="A1272" s="38">
        <v>20</v>
      </c>
      <c r="B1272" s="34" t="s">
        <v>4</v>
      </c>
      <c r="C1272" s="18" t="s">
        <v>179</v>
      </c>
      <c r="D1272" s="32" t="s">
        <v>953</v>
      </c>
      <c r="E1272" s="5"/>
      <c r="F1272" s="5"/>
      <c r="G1272" s="5"/>
      <c r="H1272" s="49"/>
      <c r="I1272" s="49"/>
      <c r="J1272" s="5"/>
      <c r="K1272" s="5"/>
      <c r="L1272" s="5"/>
      <c r="M1272" s="5"/>
      <c r="N1272" s="5"/>
    </row>
    <row r="1273" spans="1:14" ht="21" customHeight="1" x14ac:dyDescent="0.25">
      <c r="A1273" s="38">
        <v>20</v>
      </c>
      <c r="B1273" s="34" t="s">
        <v>4</v>
      </c>
      <c r="C1273" s="18" t="s">
        <v>180</v>
      </c>
      <c r="D1273" s="32" t="s">
        <v>954</v>
      </c>
      <c r="E1273" s="5"/>
      <c r="F1273" s="5"/>
      <c r="G1273" s="5"/>
      <c r="H1273" s="49"/>
      <c r="I1273" s="49"/>
      <c r="J1273" s="5"/>
      <c r="K1273" s="5"/>
      <c r="L1273" s="5"/>
      <c r="M1273" s="5"/>
      <c r="N1273" s="5"/>
    </row>
    <row r="1274" spans="1:14" ht="21" customHeight="1" x14ac:dyDescent="0.25">
      <c r="A1274" s="38">
        <v>20</v>
      </c>
      <c r="B1274" s="34" t="s">
        <v>4</v>
      </c>
      <c r="C1274" s="18" t="s">
        <v>181</v>
      </c>
      <c r="D1274" s="32" t="s">
        <v>955</v>
      </c>
      <c r="E1274" s="5"/>
      <c r="F1274" s="5"/>
      <c r="G1274" s="5"/>
      <c r="H1274" s="49"/>
      <c r="I1274" s="49"/>
      <c r="J1274" s="5"/>
      <c r="K1274" s="5"/>
      <c r="L1274" s="5"/>
      <c r="M1274" s="5"/>
      <c r="N1274" s="5"/>
    </row>
    <row r="1275" spans="1:14" s="13" customFormat="1" ht="21" customHeight="1" x14ac:dyDescent="0.25">
      <c r="A1275" s="38">
        <v>20</v>
      </c>
      <c r="B1275" s="34" t="s">
        <v>4</v>
      </c>
      <c r="C1275" s="18" t="s">
        <v>182</v>
      </c>
      <c r="D1275" s="32" t="s">
        <v>956</v>
      </c>
      <c r="E1275" s="5"/>
      <c r="F1275" s="5"/>
      <c r="G1275" s="5"/>
      <c r="H1275" s="49"/>
      <c r="I1275" s="49"/>
      <c r="J1275" s="5"/>
      <c r="K1275" s="5"/>
      <c r="L1275" s="5"/>
      <c r="M1275" s="5"/>
      <c r="N1275" s="5"/>
    </row>
    <row r="1276" spans="1:14" s="13" customFormat="1" ht="21" customHeight="1" x14ac:dyDescent="0.25">
      <c r="A1276" s="38">
        <v>20</v>
      </c>
      <c r="B1276" s="34" t="s">
        <v>4</v>
      </c>
      <c r="C1276" s="18" t="s">
        <v>183</v>
      </c>
      <c r="D1276" s="32" t="s">
        <v>957</v>
      </c>
      <c r="E1276" s="5"/>
      <c r="F1276" s="5"/>
      <c r="G1276" s="5"/>
      <c r="H1276" s="49"/>
      <c r="I1276" s="49"/>
      <c r="J1276" s="5"/>
      <c r="K1276" s="5"/>
      <c r="L1276" s="5"/>
      <c r="M1276" s="5"/>
      <c r="N1276" s="5"/>
    </row>
    <row r="1277" spans="1:14" s="13" customFormat="1" ht="31.5" x14ac:dyDescent="0.25">
      <c r="A1277" s="37">
        <v>20</v>
      </c>
      <c r="B1277" s="19" t="s">
        <v>28</v>
      </c>
      <c r="C1277" s="19" t="s">
        <v>813</v>
      </c>
      <c r="D1277" s="20" t="s">
        <v>2786</v>
      </c>
      <c r="E1277" s="7">
        <f t="shared" ref="E1277:J1277" si="309">SUM(E1278:E1333)</f>
        <v>2633.8339999999998</v>
      </c>
      <c r="F1277" s="7">
        <f t="shared" si="309"/>
        <v>114.02800000000002</v>
      </c>
      <c r="G1277" s="7">
        <f t="shared" si="309"/>
        <v>2747.8620000000005</v>
      </c>
      <c r="H1277" s="7">
        <f t="shared" si="309"/>
        <v>9821119.600370001</v>
      </c>
      <c r="I1277" s="7">
        <f t="shared" si="309"/>
        <v>2753.103689999999</v>
      </c>
      <c r="J1277" s="7">
        <f t="shared" si="309"/>
        <v>9823872.7040600013</v>
      </c>
      <c r="K1277" s="7">
        <f t="shared" ref="K1277:K1300" si="310">J1277/G1277</f>
        <v>3575.0968222057727</v>
      </c>
      <c r="L1277" s="7">
        <f t="shared" ref="L1277:L1308" si="311">K1277/$K$1659</f>
        <v>1.0540081873297964</v>
      </c>
      <c r="M1277" s="7">
        <f>SUM(M1278:M1333)</f>
        <v>450496.10000000003</v>
      </c>
      <c r="N1277" s="7">
        <f>SUM(N1278:N1333)</f>
        <v>510509.8</v>
      </c>
    </row>
    <row r="1278" spans="1:14" s="13" customFormat="1" ht="31.5" x14ac:dyDescent="0.25">
      <c r="A1278" s="38">
        <v>20</v>
      </c>
      <c r="B1278" s="34" t="s">
        <v>985</v>
      </c>
      <c r="C1278" s="18" t="s">
        <v>291</v>
      </c>
      <c r="D1278" s="32" t="s">
        <v>2412</v>
      </c>
      <c r="E1278" s="5">
        <v>7.569</v>
      </c>
      <c r="F1278" s="5">
        <v>7.2999999999999995E-2</v>
      </c>
      <c r="G1278" s="5">
        <f t="shared" ref="G1278:G1293" si="312">F1278+E1278</f>
        <v>7.6420000000000003</v>
      </c>
      <c r="H1278" s="49">
        <v>20007.737929999999</v>
      </c>
      <c r="I1278" s="49"/>
      <c r="J1278" s="5">
        <f t="shared" ref="J1278:J1300" si="313">H1278+I1278</f>
        <v>20007.737929999999</v>
      </c>
      <c r="K1278" s="5">
        <f t="shared" si="310"/>
        <v>2618.1284912326614</v>
      </c>
      <c r="L1278" s="5">
        <f t="shared" si="311"/>
        <v>0.77187528127924954</v>
      </c>
      <c r="M1278" s="5">
        <f t="shared" ref="M1278:M1309" si="314">ROUND(IF(L1278&lt;110%,0,(K1278-$K$1659*1.1)*0.5)*G1278,1)</f>
        <v>0</v>
      </c>
      <c r="N1278" s="5">
        <f t="shared" ref="N1278:N1309" si="315">ROUND(IF(L1278&gt;90%,0,(-K1278+$K$1659*0.9)*0.8)*G1278,1)</f>
        <v>2656.9</v>
      </c>
    </row>
    <row r="1279" spans="1:14" s="13" customFormat="1" ht="31.5" x14ac:dyDescent="0.25">
      <c r="A1279" s="38">
        <v>20</v>
      </c>
      <c r="B1279" s="34" t="s">
        <v>983</v>
      </c>
      <c r="C1279" s="18" t="s">
        <v>303</v>
      </c>
      <c r="D1279" s="32" t="s">
        <v>2413</v>
      </c>
      <c r="E1279" s="5">
        <v>25.56</v>
      </c>
      <c r="F1279" s="5">
        <v>0.71599999999999997</v>
      </c>
      <c r="G1279" s="5">
        <f t="shared" si="312"/>
        <v>26.276</v>
      </c>
      <c r="H1279" s="49">
        <v>54170.143113999999</v>
      </c>
      <c r="I1279" s="49"/>
      <c r="J1279" s="5">
        <f t="shared" si="313"/>
        <v>54170.143113999999</v>
      </c>
      <c r="K1279" s="5">
        <f t="shared" si="310"/>
        <v>2061.5825511493376</v>
      </c>
      <c r="L1279" s="5">
        <f t="shared" si="311"/>
        <v>0.60779469643202377</v>
      </c>
      <c r="M1279" s="5">
        <f t="shared" si="314"/>
        <v>0</v>
      </c>
      <c r="N1279" s="5">
        <f t="shared" si="315"/>
        <v>20834.400000000001</v>
      </c>
    </row>
    <row r="1280" spans="1:14" s="24" customFormat="1" ht="31.5" x14ac:dyDescent="0.25">
      <c r="A1280" s="38">
        <v>20</v>
      </c>
      <c r="B1280" s="34" t="s">
        <v>985</v>
      </c>
      <c r="C1280" s="18" t="s">
        <v>304</v>
      </c>
      <c r="D1280" s="32" t="s">
        <v>2414</v>
      </c>
      <c r="E1280" s="5">
        <v>11.904</v>
      </c>
      <c r="F1280" s="5">
        <v>0.28699999999999998</v>
      </c>
      <c r="G1280" s="5">
        <f t="shared" si="312"/>
        <v>12.191000000000001</v>
      </c>
      <c r="H1280" s="49">
        <v>23959.981969999997</v>
      </c>
      <c r="I1280" s="49"/>
      <c r="J1280" s="5">
        <f t="shared" si="313"/>
        <v>23959.981969999997</v>
      </c>
      <c r="K1280" s="5">
        <f t="shared" si="310"/>
        <v>1965.3828209334752</v>
      </c>
      <c r="L1280" s="5">
        <f t="shared" si="311"/>
        <v>0.57943314195980744</v>
      </c>
      <c r="M1280" s="5">
        <f t="shared" si="314"/>
        <v>0</v>
      </c>
      <c r="N1280" s="5">
        <f t="shared" si="315"/>
        <v>10604.5</v>
      </c>
    </row>
    <row r="1281" spans="1:14" s="24" customFormat="1" ht="15.75" x14ac:dyDescent="0.25">
      <c r="A1281" s="38">
        <v>20</v>
      </c>
      <c r="B1281" s="34" t="s">
        <v>985</v>
      </c>
      <c r="C1281" s="18" t="s">
        <v>432</v>
      </c>
      <c r="D1281" s="32" t="s">
        <v>2415</v>
      </c>
      <c r="E1281" s="5">
        <v>13.583</v>
      </c>
      <c r="F1281" s="5">
        <v>0.501</v>
      </c>
      <c r="G1281" s="5">
        <f t="shared" si="312"/>
        <v>14.084</v>
      </c>
      <c r="H1281" s="49">
        <v>65564.550189999994</v>
      </c>
      <c r="I1281" s="49"/>
      <c r="J1281" s="5">
        <f t="shared" si="313"/>
        <v>65564.550189999994</v>
      </c>
      <c r="K1281" s="5">
        <f t="shared" si="310"/>
        <v>4655.2506525134904</v>
      </c>
      <c r="L1281" s="5">
        <f t="shared" si="311"/>
        <v>1.372458578281039</v>
      </c>
      <c r="M1281" s="5">
        <f t="shared" si="314"/>
        <v>6507.9</v>
      </c>
      <c r="N1281" s="5">
        <f t="shared" si="315"/>
        <v>0</v>
      </c>
    </row>
    <row r="1282" spans="1:14" s="24" customFormat="1" ht="31.5" x14ac:dyDescent="0.25">
      <c r="A1282" s="38">
        <v>20</v>
      </c>
      <c r="B1282" s="34" t="s">
        <v>985</v>
      </c>
      <c r="C1282" s="18" t="s">
        <v>498</v>
      </c>
      <c r="D1282" s="32" t="s">
        <v>2416</v>
      </c>
      <c r="E1282" s="5">
        <v>21.798999999999999</v>
      </c>
      <c r="F1282" s="5">
        <v>0.28999999999999998</v>
      </c>
      <c r="G1282" s="5">
        <f t="shared" si="312"/>
        <v>22.088999999999999</v>
      </c>
      <c r="H1282" s="49">
        <v>70784.091128</v>
      </c>
      <c r="I1282" s="49"/>
      <c r="J1282" s="5">
        <f t="shared" si="313"/>
        <v>70784.091128</v>
      </c>
      <c r="K1282" s="5">
        <f t="shared" si="310"/>
        <v>3204.4950485762147</v>
      </c>
      <c r="L1282" s="5">
        <f t="shared" si="311"/>
        <v>0.94474756501090373</v>
      </c>
      <c r="M1282" s="5">
        <f t="shared" si="314"/>
        <v>0</v>
      </c>
      <c r="N1282" s="5">
        <f t="shared" si="315"/>
        <v>0</v>
      </c>
    </row>
    <row r="1283" spans="1:14" s="24" customFormat="1" ht="31.5" x14ac:dyDescent="0.25">
      <c r="A1283" s="38">
        <v>20</v>
      </c>
      <c r="B1283" s="34" t="s">
        <v>985</v>
      </c>
      <c r="C1283" s="18" t="s">
        <v>625</v>
      </c>
      <c r="D1283" s="32" t="s">
        <v>2417</v>
      </c>
      <c r="E1283" s="5">
        <v>13.278</v>
      </c>
      <c r="F1283" s="5">
        <v>0.34799999999999998</v>
      </c>
      <c r="G1283" s="5">
        <f t="shared" si="312"/>
        <v>13.626000000000001</v>
      </c>
      <c r="H1283" s="49">
        <v>24667.65755</v>
      </c>
      <c r="I1283" s="49"/>
      <c r="J1283" s="5">
        <f t="shared" si="313"/>
        <v>24667.65755</v>
      </c>
      <c r="K1283" s="5">
        <f t="shared" si="310"/>
        <v>1810.3374100983413</v>
      </c>
      <c r="L1283" s="5">
        <f t="shared" si="311"/>
        <v>0.53372273450647412</v>
      </c>
      <c r="M1283" s="5">
        <f t="shared" si="314"/>
        <v>0</v>
      </c>
      <c r="N1283" s="5">
        <f t="shared" si="315"/>
        <v>13542.9</v>
      </c>
    </row>
    <row r="1284" spans="1:14" s="13" customFormat="1" ht="31.5" x14ac:dyDescent="0.25">
      <c r="A1284" s="38">
        <v>20</v>
      </c>
      <c r="B1284" s="34" t="s">
        <v>985</v>
      </c>
      <c r="C1284" s="18" t="s">
        <v>626</v>
      </c>
      <c r="D1284" s="32" t="s">
        <v>3111</v>
      </c>
      <c r="E1284" s="5">
        <v>14.292999999999999</v>
      </c>
      <c r="F1284" s="5">
        <v>2.5000000000000001E-2</v>
      </c>
      <c r="G1284" s="5">
        <f t="shared" si="312"/>
        <v>14.318</v>
      </c>
      <c r="H1284" s="49">
        <v>35761.062740000001</v>
      </c>
      <c r="I1284" s="49"/>
      <c r="J1284" s="5">
        <f t="shared" si="313"/>
        <v>35761.062740000001</v>
      </c>
      <c r="K1284" s="5">
        <f t="shared" si="310"/>
        <v>2497.6297485682358</v>
      </c>
      <c r="L1284" s="5">
        <f t="shared" si="311"/>
        <v>0.73634990458388783</v>
      </c>
      <c r="M1284" s="5">
        <f t="shared" si="314"/>
        <v>0</v>
      </c>
      <c r="N1284" s="5">
        <f t="shared" si="315"/>
        <v>6358.2</v>
      </c>
    </row>
    <row r="1285" spans="1:14" s="13" customFormat="1" ht="31.5" x14ac:dyDescent="0.25">
      <c r="A1285" s="38">
        <v>20</v>
      </c>
      <c r="B1285" s="34" t="s">
        <v>985</v>
      </c>
      <c r="C1285" s="18" t="s">
        <v>627</v>
      </c>
      <c r="D1285" s="32" t="s">
        <v>2419</v>
      </c>
      <c r="E1285" s="5">
        <v>24.248999999999999</v>
      </c>
      <c r="F1285" s="5">
        <v>0.219</v>
      </c>
      <c r="G1285" s="5">
        <f t="shared" si="312"/>
        <v>24.468</v>
      </c>
      <c r="H1285" s="49">
        <v>67759.964150000014</v>
      </c>
      <c r="I1285" s="49"/>
      <c r="J1285" s="5">
        <f t="shared" si="313"/>
        <v>67759.964150000014</v>
      </c>
      <c r="K1285" s="5">
        <f t="shared" si="310"/>
        <v>2769.3299064083708</v>
      </c>
      <c r="L1285" s="5">
        <f t="shared" si="311"/>
        <v>0.81645240392979701</v>
      </c>
      <c r="M1285" s="5">
        <f t="shared" si="314"/>
        <v>0</v>
      </c>
      <c r="N1285" s="5">
        <f t="shared" si="315"/>
        <v>5547.1</v>
      </c>
    </row>
    <row r="1286" spans="1:14" s="13" customFormat="1" ht="15.75" x14ac:dyDescent="0.25">
      <c r="A1286" s="38">
        <v>20</v>
      </c>
      <c r="B1286" s="34" t="s">
        <v>984</v>
      </c>
      <c r="C1286" s="18" t="s">
        <v>628</v>
      </c>
      <c r="D1286" s="32" t="s">
        <v>2420</v>
      </c>
      <c r="E1286" s="5">
        <v>8.51</v>
      </c>
      <c r="F1286" s="5">
        <v>1.9019999999999999</v>
      </c>
      <c r="G1286" s="5">
        <f t="shared" si="312"/>
        <v>10.411999999999999</v>
      </c>
      <c r="H1286" s="49">
        <v>18994.175079999997</v>
      </c>
      <c r="I1286" s="49"/>
      <c r="J1286" s="5">
        <f t="shared" si="313"/>
        <v>18994.175079999997</v>
      </c>
      <c r="K1286" s="5">
        <f t="shared" si="310"/>
        <v>1824.2580752977333</v>
      </c>
      <c r="L1286" s="5">
        <f t="shared" si="311"/>
        <v>0.53782681778670915</v>
      </c>
      <c r="M1286" s="5">
        <f t="shared" si="314"/>
        <v>0</v>
      </c>
      <c r="N1286" s="5">
        <f t="shared" si="315"/>
        <v>10232.6</v>
      </c>
    </row>
    <row r="1287" spans="1:14" s="13" customFormat="1" ht="31.5" x14ac:dyDescent="0.25">
      <c r="A1287" s="38">
        <v>20</v>
      </c>
      <c r="B1287" s="34" t="s">
        <v>985</v>
      </c>
      <c r="C1287" s="18" t="s">
        <v>629</v>
      </c>
      <c r="D1287" s="32" t="s">
        <v>2421</v>
      </c>
      <c r="E1287" s="5">
        <v>6.5490000000000004</v>
      </c>
      <c r="F1287" s="5">
        <v>2E-3</v>
      </c>
      <c r="G1287" s="5">
        <f t="shared" si="312"/>
        <v>6.5510000000000002</v>
      </c>
      <c r="H1287" s="49">
        <v>21384.271719999997</v>
      </c>
      <c r="I1287" s="49"/>
      <c r="J1287" s="5">
        <f t="shared" si="313"/>
        <v>21384.271719999997</v>
      </c>
      <c r="K1287" s="5">
        <f t="shared" si="310"/>
        <v>3264.2759456571512</v>
      </c>
      <c r="L1287" s="5">
        <f t="shared" si="311"/>
        <v>0.96237213802326516</v>
      </c>
      <c r="M1287" s="5">
        <f t="shared" si="314"/>
        <v>0</v>
      </c>
      <c r="N1287" s="5">
        <f t="shared" si="315"/>
        <v>0</v>
      </c>
    </row>
    <row r="1288" spans="1:14" s="13" customFormat="1" ht="31.5" x14ac:dyDescent="0.25">
      <c r="A1288" s="38">
        <v>20</v>
      </c>
      <c r="B1288" s="34" t="s">
        <v>984</v>
      </c>
      <c r="C1288" s="18" t="s">
        <v>630</v>
      </c>
      <c r="D1288" s="32" t="s">
        <v>2422</v>
      </c>
      <c r="E1288" s="5">
        <v>11.194000000000001</v>
      </c>
      <c r="F1288" s="5">
        <v>0.123</v>
      </c>
      <c r="G1288" s="5">
        <f t="shared" si="312"/>
        <v>11.317</v>
      </c>
      <c r="H1288" s="49">
        <v>106569.11418400001</v>
      </c>
      <c r="I1288" s="49"/>
      <c r="J1288" s="5">
        <f t="shared" si="313"/>
        <v>106569.11418400001</v>
      </c>
      <c r="K1288" s="5">
        <f t="shared" si="310"/>
        <v>9416.7283011398777</v>
      </c>
      <c r="L1288" s="5">
        <f t="shared" si="311"/>
        <v>2.7762349443554069</v>
      </c>
      <c r="M1288" s="5">
        <f t="shared" si="314"/>
        <v>32172.1</v>
      </c>
      <c r="N1288" s="5">
        <f t="shared" si="315"/>
        <v>0</v>
      </c>
    </row>
    <row r="1289" spans="1:14" s="13" customFormat="1" ht="31.5" x14ac:dyDescent="0.25">
      <c r="A1289" s="38">
        <v>20</v>
      </c>
      <c r="B1289" s="34" t="s">
        <v>985</v>
      </c>
      <c r="C1289" s="18" t="s">
        <v>631</v>
      </c>
      <c r="D1289" s="32" t="s">
        <v>2423</v>
      </c>
      <c r="E1289" s="5">
        <v>9.0269999999999992</v>
      </c>
      <c r="F1289" s="5">
        <v>0.438</v>
      </c>
      <c r="G1289" s="5">
        <f t="shared" si="312"/>
        <v>9.4649999999999999</v>
      </c>
      <c r="H1289" s="49">
        <v>42818.120153999997</v>
      </c>
      <c r="I1289" s="49"/>
      <c r="J1289" s="5">
        <f t="shared" si="313"/>
        <v>42818.120153999997</v>
      </c>
      <c r="K1289" s="5">
        <f t="shared" si="310"/>
        <v>4523.8373115689383</v>
      </c>
      <c r="L1289" s="5">
        <f t="shared" si="311"/>
        <v>1.3337153653924827</v>
      </c>
      <c r="M1289" s="5">
        <f t="shared" si="314"/>
        <v>3751.6</v>
      </c>
      <c r="N1289" s="5">
        <f t="shared" si="315"/>
        <v>0</v>
      </c>
    </row>
    <row r="1290" spans="1:14" s="13" customFormat="1" ht="31.5" x14ac:dyDescent="0.25">
      <c r="A1290" s="38">
        <v>20</v>
      </c>
      <c r="B1290" s="34" t="s">
        <v>985</v>
      </c>
      <c r="C1290" s="18">
        <v>20513000000</v>
      </c>
      <c r="D1290" s="32" t="s">
        <v>2424</v>
      </c>
      <c r="E1290" s="5">
        <v>14.776</v>
      </c>
      <c r="F1290" s="5">
        <v>0.191</v>
      </c>
      <c r="G1290" s="5">
        <f t="shared" si="312"/>
        <v>14.967000000000001</v>
      </c>
      <c r="H1290" s="49">
        <v>62056.756858000008</v>
      </c>
      <c r="I1290" s="49"/>
      <c r="J1290" s="5">
        <f t="shared" si="313"/>
        <v>62056.756858000008</v>
      </c>
      <c r="K1290" s="5">
        <f t="shared" si="310"/>
        <v>4146.2388493352046</v>
      </c>
      <c r="L1290" s="5">
        <f t="shared" si="311"/>
        <v>1.2223919829751242</v>
      </c>
      <c r="M1290" s="5">
        <f t="shared" si="314"/>
        <v>3106.7</v>
      </c>
      <c r="N1290" s="5">
        <f t="shared" si="315"/>
        <v>0</v>
      </c>
    </row>
    <row r="1291" spans="1:14" s="13" customFormat="1" ht="31.5" x14ac:dyDescent="0.25">
      <c r="A1291" s="38">
        <v>20</v>
      </c>
      <c r="B1291" s="34" t="s">
        <v>985</v>
      </c>
      <c r="C1291" s="18">
        <v>20514000000</v>
      </c>
      <c r="D1291" s="32" t="s">
        <v>3112</v>
      </c>
      <c r="E1291" s="5">
        <v>32.686999999999998</v>
      </c>
      <c r="F1291" s="5">
        <v>1.1659999999999999</v>
      </c>
      <c r="G1291" s="5">
        <f t="shared" si="312"/>
        <v>33.852999999999994</v>
      </c>
      <c r="H1291" s="49">
        <v>58000.751170000003</v>
      </c>
      <c r="I1291" s="49"/>
      <c r="J1291" s="5">
        <f t="shared" si="313"/>
        <v>58000.751170000003</v>
      </c>
      <c r="K1291" s="5">
        <f t="shared" si="310"/>
        <v>1713.3120010043426</v>
      </c>
      <c r="L1291" s="5">
        <f t="shared" si="311"/>
        <v>0.50511775381646817</v>
      </c>
      <c r="M1291" s="5">
        <f t="shared" si="314"/>
        <v>0</v>
      </c>
      <c r="N1291" s="5">
        <f t="shared" si="315"/>
        <v>36274.300000000003</v>
      </c>
    </row>
    <row r="1292" spans="1:14" s="13" customFormat="1" ht="31.5" x14ac:dyDescent="0.25">
      <c r="A1292" s="38">
        <v>20</v>
      </c>
      <c r="B1292" s="34" t="s">
        <v>984</v>
      </c>
      <c r="C1292" s="18">
        <v>20515000000</v>
      </c>
      <c r="D1292" s="32" t="s">
        <v>2426</v>
      </c>
      <c r="E1292" s="5">
        <v>9.3079999999999998</v>
      </c>
      <c r="F1292" s="5">
        <v>3.9E-2</v>
      </c>
      <c r="G1292" s="5">
        <f t="shared" si="312"/>
        <v>9.3469999999999995</v>
      </c>
      <c r="H1292" s="49">
        <v>22688.060892000001</v>
      </c>
      <c r="I1292" s="49"/>
      <c r="J1292" s="5">
        <f t="shared" si="313"/>
        <v>22688.060892000001</v>
      </c>
      <c r="K1292" s="5">
        <f t="shared" si="310"/>
        <v>2427.3093925323637</v>
      </c>
      <c r="L1292" s="5">
        <f t="shared" si="311"/>
        <v>0.71561809375924401</v>
      </c>
      <c r="M1292" s="5">
        <f t="shared" si="314"/>
        <v>0</v>
      </c>
      <c r="N1292" s="5">
        <f t="shared" si="315"/>
        <v>4676.5</v>
      </c>
    </row>
    <row r="1293" spans="1:14" s="13" customFormat="1" ht="31.5" x14ac:dyDescent="0.25">
      <c r="A1293" s="38">
        <v>20</v>
      </c>
      <c r="B1293" s="34" t="s">
        <v>984</v>
      </c>
      <c r="C1293" s="18">
        <v>20516000000</v>
      </c>
      <c r="D1293" s="32" t="s">
        <v>2427</v>
      </c>
      <c r="E1293" s="5">
        <v>8.8160000000000007</v>
      </c>
      <c r="F1293" s="5">
        <v>0.15</v>
      </c>
      <c r="G1293" s="5">
        <f t="shared" si="312"/>
        <v>8.9660000000000011</v>
      </c>
      <c r="H1293" s="49">
        <v>13825.87818</v>
      </c>
      <c r="I1293" s="49"/>
      <c r="J1293" s="5">
        <f t="shared" si="313"/>
        <v>13825.87818</v>
      </c>
      <c r="K1293" s="5">
        <f t="shared" si="310"/>
        <v>1542.0341490073608</v>
      </c>
      <c r="L1293" s="5">
        <f t="shared" si="311"/>
        <v>0.45462170649495903</v>
      </c>
      <c r="M1293" s="5">
        <f t="shared" si="314"/>
        <v>0</v>
      </c>
      <c r="N1293" s="5">
        <f t="shared" si="315"/>
        <v>10835.8</v>
      </c>
    </row>
    <row r="1294" spans="1:14" s="13" customFormat="1" ht="15.75" x14ac:dyDescent="0.25">
      <c r="A1294" s="38">
        <v>20</v>
      </c>
      <c r="B1294" s="34" t="s">
        <v>986</v>
      </c>
      <c r="C1294" s="18">
        <v>20517000000</v>
      </c>
      <c r="D1294" s="32" t="s">
        <v>3113</v>
      </c>
      <c r="E1294" s="5">
        <v>89.471999999999994</v>
      </c>
      <c r="F1294" s="5">
        <v>1.776</v>
      </c>
      <c r="G1294" s="5">
        <f t="shared" ref="G1294:G1301" si="316">F1294+E1294</f>
        <v>91.24799999999999</v>
      </c>
      <c r="H1294" s="49">
        <v>240407.26574999999</v>
      </c>
      <c r="I1294" s="49"/>
      <c r="J1294" s="5">
        <f t="shared" si="313"/>
        <v>240407.26574999999</v>
      </c>
      <c r="K1294" s="5">
        <f t="shared" si="310"/>
        <v>2634.6579185297214</v>
      </c>
      <c r="L1294" s="5">
        <f t="shared" si="311"/>
        <v>0.77674847844548034</v>
      </c>
      <c r="M1294" s="5">
        <f t="shared" si="314"/>
        <v>0</v>
      </c>
      <c r="N1294" s="5">
        <f t="shared" si="315"/>
        <v>30517.5</v>
      </c>
    </row>
    <row r="1295" spans="1:14" s="13" customFormat="1" ht="15.75" x14ac:dyDescent="0.25">
      <c r="A1295" s="38">
        <v>20</v>
      </c>
      <c r="B1295" s="34" t="s">
        <v>986</v>
      </c>
      <c r="C1295" s="18">
        <v>20518000000</v>
      </c>
      <c r="D1295" s="32" t="s">
        <v>3114</v>
      </c>
      <c r="E1295" s="5">
        <v>49.052</v>
      </c>
      <c r="F1295" s="5">
        <v>5.5060000000000002</v>
      </c>
      <c r="G1295" s="5">
        <f t="shared" si="316"/>
        <v>54.558</v>
      </c>
      <c r="H1295" s="49">
        <v>103014.90300999999</v>
      </c>
      <c r="I1295" s="49"/>
      <c r="J1295" s="5">
        <f t="shared" si="313"/>
        <v>103014.90300999999</v>
      </c>
      <c r="K1295" s="5">
        <f t="shared" si="310"/>
        <v>1888.1722755599544</v>
      </c>
      <c r="L1295" s="5">
        <f t="shared" si="311"/>
        <v>0.55666996909511302</v>
      </c>
      <c r="M1295" s="5">
        <f t="shared" si="314"/>
        <v>0</v>
      </c>
      <c r="N1295" s="5">
        <f t="shared" si="315"/>
        <v>50828.1</v>
      </c>
    </row>
    <row r="1296" spans="1:14" s="14" customFormat="1" ht="31.5" x14ac:dyDescent="0.25">
      <c r="A1296" s="38">
        <v>20</v>
      </c>
      <c r="B1296" s="34" t="s">
        <v>984</v>
      </c>
      <c r="C1296" s="18">
        <v>20519000000</v>
      </c>
      <c r="D1296" s="32" t="s">
        <v>3115</v>
      </c>
      <c r="E1296" s="5">
        <v>7.1139999999999999</v>
      </c>
      <c r="F1296" s="5">
        <v>9.8000000000000004E-2</v>
      </c>
      <c r="G1296" s="5">
        <f t="shared" si="316"/>
        <v>7.2119999999999997</v>
      </c>
      <c r="H1296" s="49">
        <v>18812.157925999985</v>
      </c>
      <c r="I1296" s="49"/>
      <c r="J1296" s="5">
        <f t="shared" si="313"/>
        <v>18812.157925999985</v>
      </c>
      <c r="K1296" s="5">
        <f t="shared" si="310"/>
        <v>2608.4522914586782</v>
      </c>
      <c r="L1296" s="5">
        <f t="shared" si="311"/>
        <v>0.76902254909010437</v>
      </c>
      <c r="M1296" s="5">
        <f t="shared" si="314"/>
        <v>0</v>
      </c>
      <c r="N1296" s="5">
        <f t="shared" si="315"/>
        <v>2563.1999999999998</v>
      </c>
    </row>
    <row r="1297" spans="1:14" s="13" customFormat="1" ht="15.75" x14ac:dyDescent="0.25">
      <c r="A1297" s="38">
        <v>20</v>
      </c>
      <c r="B1297" s="34" t="s">
        <v>985</v>
      </c>
      <c r="C1297" s="18">
        <v>20520000000</v>
      </c>
      <c r="D1297" s="32" t="s">
        <v>3116</v>
      </c>
      <c r="E1297" s="5">
        <v>22.677</v>
      </c>
      <c r="F1297" s="5">
        <v>0.51300000000000001</v>
      </c>
      <c r="G1297" s="5">
        <f t="shared" si="316"/>
        <v>23.19</v>
      </c>
      <c r="H1297" s="49">
        <v>159082.344048</v>
      </c>
      <c r="I1297" s="49"/>
      <c r="J1297" s="5">
        <f t="shared" si="313"/>
        <v>159082.344048</v>
      </c>
      <c r="K1297" s="5">
        <f t="shared" si="310"/>
        <v>6859.954465200517</v>
      </c>
      <c r="L1297" s="5">
        <f t="shared" si="311"/>
        <v>2.0224482106668873</v>
      </c>
      <c r="M1297" s="5">
        <f t="shared" si="314"/>
        <v>36279.1</v>
      </c>
      <c r="N1297" s="5">
        <f t="shared" si="315"/>
        <v>0</v>
      </c>
    </row>
    <row r="1298" spans="1:14" s="13" customFormat="1" ht="31.5" x14ac:dyDescent="0.25">
      <c r="A1298" s="38">
        <v>20</v>
      </c>
      <c r="B1298" s="34" t="s">
        <v>984</v>
      </c>
      <c r="C1298" s="18">
        <v>20521000000</v>
      </c>
      <c r="D1298" s="32" t="s">
        <v>3117</v>
      </c>
      <c r="E1298" s="5">
        <v>6.0350000000000001</v>
      </c>
      <c r="F1298" s="5">
        <v>0.108</v>
      </c>
      <c r="G1298" s="5">
        <f t="shared" si="316"/>
        <v>6.1429999999999998</v>
      </c>
      <c r="H1298" s="49">
        <v>12495.414766</v>
      </c>
      <c r="I1298" s="49"/>
      <c r="J1298" s="5">
        <f t="shared" si="313"/>
        <v>12495.414766</v>
      </c>
      <c r="K1298" s="5">
        <f t="shared" si="310"/>
        <v>2034.0899830701612</v>
      </c>
      <c r="L1298" s="5">
        <f t="shared" si="311"/>
        <v>0.59968935179738669</v>
      </c>
      <c r="M1298" s="5">
        <f t="shared" si="314"/>
        <v>0</v>
      </c>
      <c r="N1298" s="5">
        <f t="shared" si="315"/>
        <v>5005.8999999999996</v>
      </c>
    </row>
    <row r="1299" spans="1:14" s="13" customFormat="1" ht="31.5" x14ac:dyDescent="0.25">
      <c r="A1299" s="38">
        <v>20</v>
      </c>
      <c r="B1299" s="34" t="s">
        <v>984</v>
      </c>
      <c r="C1299" s="18">
        <v>20522000000</v>
      </c>
      <c r="D1299" s="32" t="s">
        <v>3118</v>
      </c>
      <c r="E1299" s="5">
        <v>9.766</v>
      </c>
      <c r="F1299" s="5">
        <v>0.49199999999999999</v>
      </c>
      <c r="G1299" s="5">
        <f t="shared" si="316"/>
        <v>10.257999999999999</v>
      </c>
      <c r="H1299" s="49">
        <v>19411.921842</v>
      </c>
      <c r="I1299" s="49"/>
      <c r="J1299" s="5">
        <f t="shared" si="313"/>
        <v>19411.921842</v>
      </c>
      <c r="K1299" s="5">
        <f t="shared" si="310"/>
        <v>1892.3690623903296</v>
      </c>
      <c r="L1299" s="5">
        <f t="shared" si="311"/>
        <v>0.55790726360759124</v>
      </c>
      <c r="M1299" s="5">
        <f t="shared" si="314"/>
        <v>0</v>
      </c>
      <c r="N1299" s="5">
        <f t="shared" si="315"/>
        <v>9522.2999999999993</v>
      </c>
    </row>
    <row r="1300" spans="1:14" s="13" customFormat="1" ht="31.5" x14ac:dyDescent="0.25">
      <c r="A1300" s="38">
        <v>20</v>
      </c>
      <c r="B1300" s="34" t="s">
        <v>984</v>
      </c>
      <c r="C1300" s="18">
        <v>20523000000</v>
      </c>
      <c r="D1300" s="32" t="s">
        <v>2165</v>
      </c>
      <c r="E1300" s="5">
        <v>5.2450000000000001</v>
      </c>
      <c r="F1300" s="5">
        <v>6.6000000000000003E-2</v>
      </c>
      <c r="G1300" s="5">
        <f t="shared" si="316"/>
        <v>5.3109999999999999</v>
      </c>
      <c r="H1300" s="49">
        <v>10195.222908</v>
      </c>
      <c r="I1300" s="49"/>
      <c r="J1300" s="5">
        <f t="shared" si="313"/>
        <v>10195.222908</v>
      </c>
      <c r="K1300" s="5">
        <f t="shared" si="310"/>
        <v>1919.6427994727924</v>
      </c>
      <c r="L1300" s="5">
        <f t="shared" si="311"/>
        <v>0.56594809260149237</v>
      </c>
      <c r="M1300" s="5">
        <f t="shared" si="314"/>
        <v>0</v>
      </c>
      <c r="N1300" s="5">
        <f t="shared" si="315"/>
        <v>4814.2</v>
      </c>
    </row>
    <row r="1301" spans="1:14" s="13" customFormat="1" ht="15.75" x14ac:dyDescent="0.25">
      <c r="A1301" s="38">
        <v>20</v>
      </c>
      <c r="B1301" s="34" t="s">
        <v>983</v>
      </c>
      <c r="C1301" s="18">
        <v>20524000000</v>
      </c>
      <c r="D1301" s="32" t="s">
        <v>2435</v>
      </c>
      <c r="E1301" s="5">
        <v>45.575000000000003</v>
      </c>
      <c r="F1301" s="5">
        <v>2.278</v>
      </c>
      <c r="G1301" s="5">
        <f t="shared" si="316"/>
        <v>47.853000000000002</v>
      </c>
      <c r="H1301" s="49">
        <v>130060.42343800007</v>
      </c>
      <c r="I1301" s="49"/>
      <c r="J1301" s="5">
        <f t="shared" ref="J1301:J1333" si="317">H1301+I1301</f>
        <v>130060.42343800007</v>
      </c>
      <c r="K1301" s="5">
        <f t="shared" ref="K1301:K1334" si="318">J1301/G1301</f>
        <v>2717.9157720101157</v>
      </c>
      <c r="L1301" s="5">
        <f t="shared" si="311"/>
        <v>0.80129451554376996</v>
      </c>
      <c r="M1301" s="5">
        <f t="shared" si="314"/>
        <v>0</v>
      </c>
      <c r="N1301" s="5">
        <f t="shared" si="315"/>
        <v>12816.9</v>
      </c>
    </row>
    <row r="1302" spans="1:14" s="13" customFormat="1" ht="31.5" x14ac:dyDescent="0.25">
      <c r="A1302" s="38">
        <v>20</v>
      </c>
      <c r="B1302" s="34" t="s">
        <v>983</v>
      </c>
      <c r="C1302" s="18">
        <v>20525000000</v>
      </c>
      <c r="D1302" s="32" t="s">
        <v>2436</v>
      </c>
      <c r="E1302" s="5">
        <v>19.634</v>
      </c>
      <c r="F1302" s="5">
        <v>2.73</v>
      </c>
      <c r="G1302" s="5">
        <f t="shared" ref="G1302:G1333" si="319">F1302+E1302</f>
        <v>22.364000000000001</v>
      </c>
      <c r="H1302" s="49">
        <v>51247.534229999997</v>
      </c>
      <c r="I1302" s="49"/>
      <c r="J1302" s="5">
        <f t="shared" si="317"/>
        <v>51247.534229999997</v>
      </c>
      <c r="K1302" s="5">
        <f t="shared" si="318"/>
        <v>2291.5191481845823</v>
      </c>
      <c r="L1302" s="5">
        <f t="shared" si="311"/>
        <v>0.67558448448379771</v>
      </c>
      <c r="M1302" s="5">
        <f t="shared" si="314"/>
        <v>0</v>
      </c>
      <c r="N1302" s="5">
        <f t="shared" si="315"/>
        <v>13618.7</v>
      </c>
    </row>
    <row r="1303" spans="1:14" s="13" customFormat="1" ht="31.5" x14ac:dyDescent="0.25">
      <c r="A1303" s="38">
        <v>20</v>
      </c>
      <c r="B1303" s="34" t="s">
        <v>985</v>
      </c>
      <c r="C1303" s="18">
        <v>20526000000</v>
      </c>
      <c r="D1303" s="32" t="s">
        <v>2437</v>
      </c>
      <c r="E1303" s="5">
        <v>23.782</v>
      </c>
      <c r="F1303" s="5">
        <v>0.49199999999999999</v>
      </c>
      <c r="G1303" s="5">
        <f t="shared" si="319"/>
        <v>24.274000000000001</v>
      </c>
      <c r="H1303" s="49">
        <v>70438.210571999996</v>
      </c>
      <c r="I1303" s="49"/>
      <c r="J1303" s="5">
        <f t="shared" si="317"/>
        <v>70438.210571999996</v>
      </c>
      <c r="K1303" s="5">
        <f t="shared" si="318"/>
        <v>2901.7965960286724</v>
      </c>
      <c r="L1303" s="5">
        <f t="shared" si="311"/>
        <v>0.85550616452756711</v>
      </c>
      <c r="M1303" s="5">
        <f t="shared" si="314"/>
        <v>0</v>
      </c>
      <c r="N1303" s="5">
        <f t="shared" si="315"/>
        <v>2930.7</v>
      </c>
    </row>
    <row r="1304" spans="1:14" s="13" customFormat="1" ht="15.75" x14ac:dyDescent="0.25">
      <c r="A1304" s="38">
        <v>20</v>
      </c>
      <c r="B1304" s="34" t="s">
        <v>984</v>
      </c>
      <c r="C1304" s="18">
        <v>20527000000</v>
      </c>
      <c r="D1304" s="32" t="s">
        <v>2438</v>
      </c>
      <c r="E1304" s="5">
        <v>5.6760000000000002</v>
      </c>
      <c r="F1304" s="5">
        <v>6.3E-2</v>
      </c>
      <c r="G1304" s="5">
        <f t="shared" si="319"/>
        <v>5.7389999999999999</v>
      </c>
      <c r="H1304" s="49">
        <v>19391.328251999996</v>
      </c>
      <c r="I1304" s="49"/>
      <c r="J1304" s="5">
        <f t="shared" si="317"/>
        <v>19391.328251999996</v>
      </c>
      <c r="K1304" s="5">
        <f t="shared" si="318"/>
        <v>3378.8688363826445</v>
      </c>
      <c r="L1304" s="5">
        <f t="shared" si="311"/>
        <v>0.99615635451895668</v>
      </c>
      <c r="M1304" s="5">
        <f t="shared" si="314"/>
        <v>0</v>
      </c>
      <c r="N1304" s="5">
        <f t="shared" si="315"/>
        <v>0</v>
      </c>
    </row>
    <row r="1305" spans="1:14" s="13" customFormat="1" ht="31.5" x14ac:dyDescent="0.25">
      <c r="A1305" s="38">
        <v>20</v>
      </c>
      <c r="B1305" s="34" t="s">
        <v>985</v>
      </c>
      <c r="C1305" s="18">
        <v>20528000000</v>
      </c>
      <c r="D1305" s="32" t="s">
        <v>2439</v>
      </c>
      <c r="E1305" s="5">
        <v>17.541</v>
      </c>
      <c r="F1305" s="5">
        <v>0.70099999999999996</v>
      </c>
      <c r="G1305" s="5">
        <f t="shared" si="319"/>
        <v>18.242000000000001</v>
      </c>
      <c r="H1305" s="49">
        <v>46222.879000000001</v>
      </c>
      <c r="I1305" s="49"/>
      <c r="J1305" s="5">
        <f t="shared" si="317"/>
        <v>46222.879000000001</v>
      </c>
      <c r="K1305" s="5">
        <f t="shared" si="318"/>
        <v>2533.8712312246462</v>
      </c>
      <c r="L1305" s="5">
        <f t="shared" si="311"/>
        <v>0.74703459966782659</v>
      </c>
      <c r="M1305" s="5">
        <f t="shared" si="314"/>
        <v>0</v>
      </c>
      <c r="N1305" s="5">
        <f t="shared" si="315"/>
        <v>7571.8</v>
      </c>
    </row>
    <row r="1306" spans="1:14" s="13" customFormat="1" ht="31.5" x14ac:dyDescent="0.25">
      <c r="A1306" s="38">
        <v>20</v>
      </c>
      <c r="B1306" s="34" t="s">
        <v>983</v>
      </c>
      <c r="C1306" s="18">
        <v>20529000000</v>
      </c>
      <c r="D1306" s="32" t="s">
        <v>2440</v>
      </c>
      <c r="E1306" s="5">
        <v>37.106000000000002</v>
      </c>
      <c r="F1306" s="5">
        <v>0.217</v>
      </c>
      <c r="G1306" s="5">
        <f t="shared" si="319"/>
        <v>37.323</v>
      </c>
      <c r="H1306" s="49">
        <v>125616.64018999999</v>
      </c>
      <c r="I1306" s="49"/>
      <c r="J1306" s="5">
        <f t="shared" si="317"/>
        <v>125616.64018999999</v>
      </c>
      <c r="K1306" s="5">
        <f t="shared" si="318"/>
        <v>3365.6630010985182</v>
      </c>
      <c r="L1306" s="5">
        <f t="shared" si="311"/>
        <v>0.99226301702288022</v>
      </c>
      <c r="M1306" s="5">
        <f t="shared" si="314"/>
        <v>0</v>
      </c>
      <c r="N1306" s="5">
        <f t="shared" si="315"/>
        <v>0</v>
      </c>
    </row>
    <row r="1307" spans="1:14" s="13" customFormat="1" ht="15.75" x14ac:dyDescent="0.25">
      <c r="A1307" s="38">
        <v>20</v>
      </c>
      <c r="B1307" s="34" t="s">
        <v>985</v>
      </c>
      <c r="C1307" s="18">
        <v>20530000000</v>
      </c>
      <c r="D1307" s="32" t="s">
        <v>2441</v>
      </c>
      <c r="E1307" s="5">
        <v>15.702</v>
      </c>
      <c r="F1307" s="5">
        <v>1.089</v>
      </c>
      <c r="G1307" s="5">
        <f t="shared" si="319"/>
        <v>16.791</v>
      </c>
      <c r="H1307" s="49">
        <v>42168.032799999994</v>
      </c>
      <c r="I1307" s="49"/>
      <c r="J1307" s="5">
        <f t="shared" si="317"/>
        <v>42168.032799999994</v>
      </c>
      <c r="K1307" s="5">
        <f t="shared" si="318"/>
        <v>2511.3473170150673</v>
      </c>
      <c r="L1307" s="5">
        <f t="shared" si="311"/>
        <v>0.7403941109850718</v>
      </c>
      <c r="M1307" s="5">
        <f t="shared" si="314"/>
        <v>0</v>
      </c>
      <c r="N1307" s="5">
        <f t="shared" si="315"/>
        <v>7272.1</v>
      </c>
    </row>
    <row r="1308" spans="1:14" s="13" customFormat="1" ht="15.75" x14ac:dyDescent="0.25">
      <c r="A1308" s="38">
        <v>20</v>
      </c>
      <c r="B1308" s="34" t="s">
        <v>983</v>
      </c>
      <c r="C1308" s="18">
        <v>20531000000</v>
      </c>
      <c r="D1308" s="32" t="s">
        <v>2442</v>
      </c>
      <c r="E1308" s="5">
        <v>30.434999999999999</v>
      </c>
      <c r="F1308" s="5">
        <v>0.42899999999999999</v>
      </c>
      <c r="G1308" s="5">
        <f t="shared" si="319"/>
        <v>30.863999999999997</v>
      </c>
      <c r="H1308" s="49">
        <v>82236.191149999999</v>
      </c>
      <c r="I1308" s="49"/>
      <c r="J1308" s="5">
        <f t="shared" si="317"/>
        <v>82236.191149999999</v>
      </c>
      <c r="K1308" s="5">
        <f t="shared" si="318"/>
        <v>2664.4696458657336</v>
      </c>
      <c r="L1308" s="5">
        <f t="shared" si="311"/>
        <v>0.78553755640707068</v>
      </c>
      <c r="M1308" s="5">
        <f t="shared" si="314"/>
        <v>0</v>
      </c>
      <c r="N1308" s="5">
        <f t="shared" si="315"/>
        <v>9586.2999999999993</v>
      </c>
    </row>
    <row r="1309" spans="1:14" s="13" customFormat="1" ht="31.5" x14ac:dyDescent="0.25">
      <c r="A1309" s="38">
        <v>20</v>
      </c>
      <c r="B1309" s="34" t="s">
        <v>985</v>
      </c>
      <c r="C1309" s="18">
        <v>20532000000</v>
      </c>
      <c r="D1309" s="32" t="s">
        <v>2443</v>
      </c>
      <c r="E1309" s="5">
        <v>27.158000000000001</v>
      </c>
      <c r="F1309" s="5">
        <v>0.78500000000000003</v>
      </c>
      <c r="G1309" s="5">
        <f t="shared" si="319"/>
        <v>27.943000000000001</v>
      </c>
      <c r="H1309" s="49">
        <v>50221.862699999998</v>
      </c>
      <c r="I1309" s="49"/>
      <c r="J1309" s="5">
        <f t="shared" si="317"/>
        <v>50221.862699999998</v>
      </c>
      <c r="K1309" s="5">
        <f t="shared" si="318"/>
        <v>1797.2967362130048</v>
      </c>
      <c r="L1309" s="5">
        <f t="shared" ref="L1309:L1334" si="320">K1309/$K$1659</f>
        <v>0.52987808980816298</v>
      </c>
      <c r="M1309" s="5">
        <f t="shared" si="314"/>
        <v>0</v>
      </c>
      <c r="N1309" s="5">
        <f t="shared" si="315"/>
        <v>28064.1</v>
      </c>
    </row>
    <row r="1310" spans="1:14" s="13" customFormat="1" ht="15.75" x14ac:dyDescent="0.25">
      <c r="A1310" s="38">
        <v>20</v>
      </c>
      <c r="B1310" s="34" t="s">
        <v>984</v>
      </c>
      <c r="C1310" s="18">
        <v>20533000000</v>
      </c>
      <c r="D1310" s="32" t="s">
        <v>2444</v>
      </c>
      <c r="E1310" s="5">
        <v>12.146000000000001</v>
      </c>
      <c r="F1310" s="5">
        <v>0.106</v>
      </c>
      <c r="G1310" s="5">
        <f t="shared" si="319"/>
        <v>12.252000000000001</v>
      </c>
      <c r="H1310" s="49">
        <v>51921.071070000005</v>
      </c>
      <c r="I1310" s="49"/>
      <c r="J1310" s="5">
        <f t="shared" si="317"/>
        <v>51921.071070000005</v>
      </c>
      <c r="K1310" s="5">
        <f t="shared" si="318"/>
        <v>4237.7629015670909</v>
      </c>
      <c r="L1310" s="5">
        <f t="shared" si="320"/>
        <v>1.2493750564938126</v>
      </c>
      <c r="M1310" s="5">
        <f t="shared" ref="M1310:M1333" si="321">ROUND(IF(L1310&lt;110%,0,(K1310-$K$1659*1.1)*0.5)*G1310,1)</f>
        <v>3103.8</v>
      </c>
      <c r="N1310" s="5">
        <f t="shared" ref="N1310:N1333" si="322">ROUND(IF(L1310&gt;90%,0,(-K1310+$K$1659*0.9)*0.8)*G1310,1)</f>
        <v>0</v>
      </c>
    </row>
    <row r="1311" spans="1:14" s="13" customFormat="1" ht="31.5" x14ac:dyDescent="0.25">
      <c r="A1311" s="38">
        <v>20</v>
      </c>
      <c r="B1311" s="34" t="s">
        <v>984</v>
      </c>
      <c r="C1311" s="18">
        <v>20534000000</v>
      </c>
      <c r="D1311" s="32" t="s">
        <v>2445</v>
      </c>
      <c r="E1311" s="5">
        <v>6.1070000000000002</v>
      </c>
      <c r="F1311" s="5">
        <v>7.8E-2</v>
      </c>
      <c r="G1311" s="5">
        <f t="shared" si="319"/>
        <v>6.1850000000000005</v>
      </c>
      <c r="H1311" s="49">
        <v>19702.706591999995</v>
      </c>
      <c r="I1311" s="49"/>
      <c r="J1311" s="5">
        <f t="shared" si="317"/>
        <v>19702.706591999995</v>
      </c>
      <c r="K1311" s="5">
        <f t="shared" si="318"/>
        <v>3185.5629089733216</v>
      </c>
      <c r="L1311" s="5">
        <f t="shared" si="320"/>
        <v>0.93916600145123252</v>
      </c>
      <c r="M1311" s="5">
        <f t="shared" si="321"/>
        <v>0</v>
      </c>
      <c r="N1311" s="5">
        <f t="shared" si="322"/>
        <v>0</v>
      </c>
    </row>
    <row r="1312" spans="1:14" s="13" customFormat="1" ht="15.75" x14ac:dyDescent="0.25">
      <c r="A1312" s="38">
        <v>20</v>
      </c>
      <c r="B1312" s="34" t="s">
        <v>983</v>
      </c>
      <c r="C1312" s="18">
        <v>20535000000</v>
      </c>
      <c r="D1312" s="32" t="s">
        <v>2446</v>
      </c>
      <c r="E1312" s="5">
        <v>36.302999999999997</v>
      </c>
      <c r="F1312" s="5">
        <v>0.876</v>
      </c>
      <c r="G1312" s="5">
        <f t="shared" si="319"/>
        <v>37.178999999999995</v>
      </c>
      <c r="H1312" s="49">
        <v>109649.5352</v>
      </c>
      <c r="I1312" s="49"/>
      <c r="J1312" s="5">
        <f t="shared" si="317"/>
        <v>109649.5352</v>
      </c>
      <c r="K1312" s="5">
        <f t="shared" si="318"/>
        <v>2949.2330401570784</v>
      </c>
      <c r="L1312" s="5">
        <f t="shared" si="320"/>
        <v>0.86949135233523733</v>
      </c>
      <c r="M1312" s="5">
        <f t="shared" si="321"/>
        <v>0</v>
      </c>
      <c r="N1312" s="5">
        <f t="shared" si="322"/>
        <v>3077.9</v>
      </c>
    </row>
    <row r="1313" spans="1:14" s="13" customFormat="1" ht="31.5" x14ac:dyDescent="0.25">
      <c r="A1313" s="38">
        <v>20</v>
      </c>
      <c r="B1313" s="34" t="s">
        <v>985</v>
      </c>
      <c r="C1313" s="18">
        <v>20536000000</v>
      </c>
      <c r="D1313" s="32" t="s">
        <v>2447</v>
      </c>
      <c r="E1313" s="5">
        <v>16.27</v>
      </c>
      <c r="F1313" s="5">
        <v>8.6999999999999994E-2</v>
      </c>
      <c r="G1313" s="5">
        <f t="shared" si="319"/>
        <v>16.356999999999999</v>
      </c>
      <c r="H1313" s="49">
        <v>52172.595439999997</v>
      </c>
      <c r="I1313" s="49"/>
      <c r="J1313" s="5">
        <f t="shared" si="317"/>
        <v>52172.595439999997</v>
      </c>
      <c r="K1313" s="5">
        <f t="shared" si="318"/>
        <v>3189.6188445313933</v>
      </c>
      <c r="L1313" s="5">
        <f t="shared" si="320"/>
        <v>0.94036177026480339</v>
      </c>
      <c r="M1313" s="5">
        <f t="shared" si="321"/>
        <v>0</v>
      </c>
      <c r="N1313" s="5">
        <f t="shared" si="322"/>
        <v>0</v>
      </c>
    </row>
    <row r="1314" spans="1:14" s="13" customFormat="1" ht="15.75" x14ac:dyDescent="0.25">
      <c r="A1314" s="38">
        <v>20</v>
      </c>
      <c r="B1314" s="34" t="s">
        <v>983</v>
      </c>
      <c r="C1314" s="18">
        <v>20537000000</v>
      </c>
      <c r="D1314" s="32" t="s">
        <v>2448</v>
      </c>
      <c r="E1314" s="5">
        <v>43.448</v>
      </c>
      <c r="F1314" s="5">
        <v>0.69499999999999995</v>
      </c>
      <c r="G1314" s="5">
        <f t="shared" si="319"/>
        <v>44.143000000000001</v>
      </c>
      <c r="H1314" s="49">
        <v>151090.49596600002</v>
      </c>
      <c r="I1314" s="49"/>
      <c r="J1314" s="5">
        <f t="shared" si="317"/>
        <v>151090.49596600002</v>
      </c>
      <c r="K1314" s="5">
        <f t="shared" si="318"/>
        <v>3422.7509676732443</v>
      </c>
      <c r="L1314" s="5">
        <f t="shared" si="320"/>
        <v>1.0090936616627775</v>
      </c>
      <c r="M1314" s="5">
        <f t="shared" si="321"/>
        <v>0</v>
      </c>
      <c r="N1314" s="5">
        <f t="shared" si="322"/>
        <v>0</v>
      </c>
    </row>
    <row r="1315" spans="1:14" s="12" customFormat="1" ht="15.75" x14ac:dyDescent="0.25">
      <c r="A1315" s="38">
        <v>20</v>
      </c>
      <c r="B1315" s="34" t="s">
        <v>983</v>
      </c>
      <c r="C1315" s="18">
        <v>20538000000</v>
      </c>
      <c r="D1315" s="32" t="s">
        <v>2449</v>
      </c>
      <c r="E1315" s="5">
        <v>41.404000000000003</v>
      </c>
      <c r="F1315" s="5">
        <v>0.76600000000000001</v>
      </c>
      <c r="G1315" s="5">
        <f t="shared" si="319"/>
        <v>42.17</v>
      </c>
      <c r="H1315" s="49">
        <v>82368.92296000004</v>
      </c>
      <c r="I1315" s="49"/>
      <c r="J1315" s="5">
        <f t="shared" si="317"/>
        <v>82368.92296000004</v>
      </c>
      <c r="K1315" s="5">
        <f t="shared" si="318"/>
        <v>1953.2587849181891</v>
      </c>
      <c r="L1315" s="5">
        <f t="shared" si="320"/>
        <v>0.5758587399620152</v>
      </c>
      <c r="M1315" s="5">
        <f t="shared" si="321"/>
        <v>0</v>
      </c>
      <c r="N1315" s="5">
        <f t="shared" si="322"/>
        <v>37091.300000000003</v>
      </c>
    </row>
    <row r="1316" spans="1:14" ht="31.5" x14ac:dyDescent="0.25">
      <c r="A1316" s="38">
        <v>20</v>
      </c>
      <c r="B1316" s="34" t="s">
        <v>985</v>
      </c>
      <c r="C1316" s="18">
        <v>20539000000</v>
      </c>
      <c r="D1316" s="32" t="s">
        <v>2450</v>
      </c>
      <c r="E1316" s="5">
        <v>20.064</v>
      </c>
      <c r="F1316" s="5">
        <v>0.17</v>
      </c>
      <c r="G1316" s="5">
        <f t="shared" si="319"/>
        <v>20.234000000000002</v>
      </c>
      <c r="H1316" s="49">
        <v>54409.743020000002</v>
      </c>
      <c r="I1316" s="49"/>
      <c r="J1316" s="5">
        <f t="shared" si="317"/>
        <v>54409.743020000002</v>
      </c>
      <c r="K1316" s="5">
        <f t="shared" si="318"/>
        <v>2689.0255520411188</v>
      </c>
      <c r="L1316" s="5">
        <f t="shared" si="320"/>
        <v>0.79277711590526334</v>
      </c>
      <c r="M1316" s="5">
        <f t="shared" si="321"/>
        <v>0</v>
      </c>
      <c r="N1316" s="5">
        <f t="shared" si="322"/>
        <v>5887.1</v>
      </c>
    </row>
    <row r="1317" spans="1:14" ht="31.5" x14ac:dyDescent="0.25">
      <c r="A1317" s="38">
        <v>20</v>
      </c>
      <c r="B1317" s="34" t="s">
        <v>983</v>
      </c>
      <c r="C1317" s="18">
        <v>20540000000</v>
      </c>
      <c r="D1317" s="32" t="s">
        <v>2451</v>
      </c>
      <c r="E1317" s="5">
        <v>31.262</v>
      </c>
      <c r="F1317" s="5">
        <v>0.38900000000000001</v>
      </c>
      <c r="G1317" s="5">
        <f t="shared" si="319"/>
        <v>31.651</v>
      </c>
      <c r="H1317" s="49">
        <v>106913.75148599999</v>
      </c>
      <c r="I1317" s="49"/>
      <c r="J1317" s="5">
        <f t="shared" si="317"/>
        <v>106913.75148599999</v>
      </c>
      <c r="K1317" s="5">
        <f t="shared" si="318"/>
        <v>3377.8949001927267</v>
      </c>
      <c r="L1317" s="5">
        <f t="shared" si="320"/>
        <v>0.99586921915754945</v>
      </c>
      <c r="M1317" s="5">
        <f t="shared" si="321"/>
        <v>0</v>
      </c>
      <c r="N1317" s="5">
        <f t="shared" si="322"/>
        <v>0</v>
      </c>
    </row>
    <row r="1318" spans="1:14" ht="31.5" x14ac:dyDescent="0.25">
      <c r="A1318" s="38">
        <v>20</v>
      </c>
      <c r="B1318" s="34" t="s">
        <v>985</v>
      </c>
      <c r="C1318" s="18">
        <v>20541000000</v>
      </c>
      <c r="D1318" s="32" t="s">
        <v>2452</v>
      </c>
      <c r="E1318" s="5">
        <v>26.597000000000001</v>
      </c>
      <c r="F1318" s="5">
        <v>0.249</v>
      </c>
      <c r="G1318" s="5">
        <f t="shared" si="319"/>
        <v>26.846</v>
      </c>
      <c r="H1318" s="49">
        <v>75587.63351</v>
      </c>
      <c r="I1318" s="49"/>
      <c r="J1318" s="5">
        <f t="shared" si="317"/>
        <v>75587.63351</v>
      </c>
      <c r="K1318" s="5">
        <f t="shared" si="318"/>
        <v>2815.6013376294418</v>
      </c>
      <c r="L1318" s="5">
        <f t="shared" si="320"/>
        <v>0.83009412323752363</v>
      </c>
      <c r="M1318" s="5">
        <f t="shared" si="321"/>
        <v>0</v>
      </c>
      <c r="N1318" s="5">
        <f t="shared" si="322"/>
        <v>5092.5</v>
      </c>
    </row>
    <row r="1319" spans="1:14" ht="31.5" x14ac:dyDescent="0.25">
      <c r="A1319" s="38">
        <v>20</v>
      </c>
      <c r="B1319" s="34" t="s">
        <v>984</v>
      </c>
      <c r="C1319" s="18">
        <v>20542000000</v>
      </c>
      <c r="D1319" s="32" t="s">
        <v>2453</v>
      </c>
      <c r="E1319" s="5">
        <v>4.431</v>
      </c>
      <c r="F1319" s="5">
        <v>0.33400000000000002</v>
      </c>
      <c r="G1319" s="5">
        <f t="shared" si="319"/>
        <v>4.7649999999999997</v>
      </c>
      <c r="H1319" s="49">
        <v>14110.41084</v>
      </c>
      <c r="I1319" s="49"/>
      <c r="J1319" s="5">
        <f t="shared" si="317"/>
        <v>14110.41084</v>
      </c>
      <c r="K1319" s="5">
        <f t="shared" si="318"/>
        <v>2961.2614564533055</v>
      </c>
      <c r="L1319" s="5">
        <f t="shared" si="320"/>
        <v>0.87303756377714514</v>
      </c>
      <c r="M1319" s="5">
        <f t="shared" si="321"/>
        <v>0</v>
      </c>
      <c r="N1319" s="5">
        <f t="shared" si="322"/>
        <v>348.6</v>
      </c>
    </row>
    <row r="1320" spans="1:14" ht="15.75" x14ac:dyDescent="0.25">
      <c r="A1320" s="38">
        <v>20</v>
      </c>
      <c r="B1320" s="34" t="s">
        <v>986</v>
      </c>
      <c r="C1320" s="18">
        <v>20543000000</v>
      </c>
      <c r="D1320" s="32" t="s">
        <v>2454</v>
      </c>
      <c r="E1320" s="5">
        <v>55.543999999999997</v>
      </c>
      <c r="F1320" s="5">
        <v>1.488</v>
      </c>
      <c r="G1320" s="5">
        <f t="shared" si="319"/>
        <v>57.031999999999996</v>
      </c>
      <c r="H1320" s="49">
        <v>174999.36370400002</v>
      </c>
      <c r="I1320" s="49"/>
      <c r="J1320" s="5">
        <f t="shared" si="317"/>
        <v>174999.36370400002</v>
      </c>
      <c r="K1320" s="5">
        <f t="shared" si="318"/>
        <v>3068.4416416047138</v>
      </c>
      <c r="L1320" s="5">
        <f t="shared" si="320"/>
        <v>0.90463637026748456</v>
      </c>
      <c r="M1320" s="5">
        <f t="shared" si="321"/>
        <v>0</v>
      </c>
      <c r="N1320" s="5">
        <f t="shared" si="322"/>
        <v>0</v>
      </c>
    </row>
    <row r="1321" spans="1:14" ht="15.75" x14ac:dyDescent="0.25">
      <c r="A1321" s="38">
        <v>20</v>
      </c>
      <c r="B1321" s="34" t="s">
        <v>984</v>
      </c>
      <c r="C1321" s="18">
        <v>20544000000</v>
      </c>
      <c r="D1321" s="32" t="s">
        <v>2455</v>
      </c>
      <c r="E1321" s="5">
        <v>13.321</v>
      </c>
      <c r="F1321" s="5">
        <v>0.20300000000000001</v>
      </c>
      <c r="G1321" s="5">
        <f t="shared" si="319"/>
        <v>13.523999999999999</v>
      </c>
      <c r="H1321" s="49">
        <v>26042.283617999998</v>
      </c>
      <c r="I1321" s="49"/>
      <c r="J1321" s="5">
        <f t="shared" si="317"/>
        <v>26042.283617999998</v>
      </c>
      <c r="K1321" s="5">
        <f t="shared" si="318"/>
        <v>1925.6346952085182</v>
      </c>
      <c r="L1321" s="5">
        <f t="shared" si="320"/>
        <v>0.56771462018862073</v>
      </c>
      <c r="M1321" s="5">
        <f t="shared" si="321"/>
        <v>0</v>
      </c>
      <c r="N1321" s="5">
        <f t="shared" si="322"/>
        <v>12194.1</v>
      </c>
    </row>
    <row r="1322" spans="1:14" ht="31.5" x14ac:dyDescent="0.25">
      <c r="A1322" s="38">
        <v>20</v>
      </c>
      <c r="B1322" s="34" t="s">
        <v>986</v>
      </c>
      <c r="C1322" s="18">
        <v>20545000000</v>
      </c>
      <c r="D1322" s="32" t="s">
        <v>2456</v>
      </c>
      <c r="E1322" s="5">
        <v>27.164000000000001</v>
      </c>
      <c r="F1322" s="5">
        <v>0.46</v>
      </c>
      <c r="G1322" s="5">
        <f t="shared" si="319"/>
        <v>27.624000000000002</v>
      </c>
      <c r="H1322" s="49">
        <v>52358.999742</v>
      </c>
      <c r="I1322" s="49"/>
      <c r="J1322" s="5">
        <f t="shared" si="317"/>
        <v>52358.999742</v>
      </c>
      <c r="K1322" s="5">
        <f t="shared" si="318"/>
        <v>1895.4170193310163</v>
      </c>
      <c r="L1322" s="5">
        <f t="shared" si="320"/>
        <v>0.55880586068897886</v>
      </c>
      <c r="M1322" s="5">
        <f t="shared" si="321"/>
        <v>0</v>
      </c>
      <c r="N1322" s="5">
        <f t="shared" si="322"/>
        <v>25575.4</v>
      </c>
    </row>
    <row r="1323" spans="1:14" ht="31.5" x14ac:dyDescent="0.25">
      <c r="A1323" s="38">
        <v>20</v>
      </c>
      <c r="B1323" s="34" t="s">
        <v>985</v>
      </c>
      <c r="C1323" s="18">
        <v>20546000000</v>
      </c>
      <c r="D1323" s="32" t="s">
        <v>2457</v>
      </c>
      <c r="E1323" s="5">
        <v>16.541</v>
      </c>
      <c r="F1323" s="5">
        <v>1.087</v>
      </c>
      <c r="G1323" s="5">
        <f t="shared" si="319"/>
        <v>17.628</v>
      </c>
      <c r="H1323" s="49">
        <v>22952.397875999999</v>
      </c>
      <c r="I1323" s="49"/>
      <c r="J1323" s="5">
        <f t="shared" si="317"/>
        <v>22952.397875999999</v>
      </c>
      <c r="K1323" s="5">
        <f t="shared" si="318"/>
        <v>1302.0420850918993</v>
      </c>
      <c r="L1323" s="5">
        <f t="shared" si="320"/>
        <v>0.38386737092286555</v>
      </c>
      <c r="M1323" s="5">
        <f t="shared" si="321"/>
        <v>0</v>
      </c>
      <c r="N1323" s="5">
        <f t="shared" si="322"/>
        <v>24688.7</v>
      </c>
    </row>
    <row r="1324" spans="1:14" ht="31.5" x14ac:dyDescent="0.25">
      <c r="A1324" s="38">
        <v>20</v>
      </c>
      <c r="B1324" s="34" t="s">
        <v>986</v>
      </c>
      <c r="C1324" s="18">
        <v>20547000000</v>
      </c>
      <c r="D1324" s="32" t="s">
        <v>2095</v>
      </c>
      <c r="E1324" s="5">
        <v>30.597000000000001</v>
      </c>
      <c r="F1324" s="5">
        <v>0.68700000000000006</v>
      </c>
      <c r="G1324" s="5">
        <f t="shared" si="319"/>
        <v>31.284000000000002</v>
      </c>
      <c r="H1324" s="49">
        <v>70045.616282000003</v>
      </c>
      <c r="I1324" s="49"/>
      <c r="J1324" s="5">
        <f t="shared" si="317"/>
        <v>70045.616282000003</v>
      </c>
      <c r="K1324" s="5">
        <f t="shared" si="318"/>
        <v>2239.0236632783531</v>
      </c>
      <c r="L1324" s="5">
        <f t="shared" si="320"/>
        <v>0.66010779290293164</v>
      </c>
      <c r="M1324" s="5">
        <f t="shared" si="321"/>
        <v>0</v>
      </c>
      <c r="N1324" s="5">
        <f t="shared" si="322"/>
        <v>20364.400000000001</v>
      </c>
    </row>
    <row r="1325" spans="1:14" ht="31.5" x14ac:dyDescent="0.25">
      <c r="A1325" s="38">
        <v>20</v>
      </c>
      <c r="B1325" s="34" t="s">
        <v>985</v>
      </c>
      <c r="C1325" s="18">
        <v>20548000000</v>
      </c>
      <c r="D1325" s="32" t="s">
        <v>2458</v>
      </c>
      <c r="E1325" s="5">
        <v>9.4629999999999992</v>
      </c>
      <c r="F1325" s="5">
        <v>0.161</v>
      </c>
      <c r="G1325" s="5">
        <f t="shared" si="319"/>
        <v>9.6239999999999988</v>
      </c>
      <c r="H1325" s="49">
        <v>20318.017680000001</v>
      </c>
      <c r="I1325" s="49"/>
      <c r="J1325" s="5">
        <f t="shared" si="317"/>
        <v>20318.017680000001</v>
      </c>
      <c r="K1325" s="5">
        <f t="shared" si="318"/>
        <v>2111.182219451372</v>
      </c>
      <c r="L1325" s="5">
        <f t="shared" si="320"/>
        <v>0.62241764486644724</v>
      </c>
      <c r="M1325" s="5">
        <f t="shared" si="321"/>
        <v>0</v>
      </c>
      <c r="N1325" s="5">
        <f t="shared" si="322"/>
        <v>7249.1</v>
      </c>
    </row>
    <row r="1326" spans="1:14" ht="31.5" x14ac:dyDescent="0.25">
      <c r="A1326" s="38">
        <v>20</v>
      </c>
      <c r="B1326" s="34" t="s">
        <v>983</v>
      </c>
      <c r="C1326" s="18">
        <v>20549000000</v>
      </c>
      <c r="D1326" s="32" t="s">
        <v>2844</v>
      </c>
      <c r="E1326" s="5">
        <v>13.856999999999999</v>
      </c>
      <c r="F1326" s="5">
        <v>0.29599999999999999</v>
      </c>
      <c r="G1326" s="5">
        <f t="shared" si="319"/>
        <v>14.152999999999999</v>
      </c>
      <c r="H1326" s="49">
        <v>16042.331424</v>
      </c>
      <c r="I1326" s="49"/>
      <c r="J1326" s="5">
        <f t="shared" si="317"/>
        <v>16042.331424</v>
      </c>
      <c r="K1326" s="5">
        <f t="shared" si="318"/>
        <v>1133.4933529287077</v>
      </c>
      <c r="L1326" s="5">
        <f t="shared" si="320"/>
        <v>0.33417592129257195</v>
      </c>
      <c r="M1326" s="5">
        <f t="shared" si="321"/>
        <v>0</v>
      </c>
      <c r="N1326" s="5">
        <f t="shared" si="322"/>
        <v>21730.2</v>
      </c>
    </row>
    <row r="1327" spans="1:14" ht="31.5" x14ac:dyDescent="0.25">
      <c r="A1327" s="38">
        <v>20</v>
      </c>
      <c r="B1327" s="34" t="s">
        <v>985</v>
      </c>
      <c r="C1327" s="18">
        <v>20550000000</v>
      </c>
      <c r="D1327" s="32" t="s">
        <v>2459</v>
      </c>
      <c r="E1327" s="5">
        <v>10.404999999999999</v>
      </c>
      <c r="F1327" s="5">
        <v>0.32600000000000001</v>
      </c>
      <c r="G1327" s="5">
        <f t="shared" si="319"/>
        <v>10.731</v>
      </c>
      <c r="H1327" s="49">
        <v>11173.341678000001</v>
      </c>
      <c r="I1327" s="49"/>
      <c r="J1327" s="5">
        <f t="shared" si="317"/>
        <v>11173.341678000001</v>
      </c>
      <c r="K1327" s="5">
        <f t="shared" si="318"/>
        <v>1041.2209186469108</v>
      </c>
      <c r="L1327" s="5">
        <f t="shared" si="320"/>
        <v>0.30697221016682419</v>
      </c>
      <c r="M1327" s="5">
        <f t="shared" si="321"/>
        <v>0</v>
      </c>
      <c r="N1327" s="5">
        <f t="shared" si="322"/>
        <v>17268.3</v>
      </c>
    </row>
    <row r="1328" spans="1:14" ht="31.5" x14ac:dyDescent="0.25">
      <c r="A1328" s="38">
        <v>20</v>
      </c>
      <c r="B1328" s="34" t="s">
        <v>985</v>
      </c>
      <c r="C1328" s="18">
        <v>20551000000</v>
      </c>
      <c r="D1328" s="32" t="s">
        <v>2460</v>
      </c>
      <c r="E1328" s="5">
        <v>19.827000000000002</v>
      </c>
      <c r="F1328" s="5">
        <v>0.40100000000000002</v>
      </c>
      <c r="G1328" s="5">
        <f t="shared" si="319"/>
        <v>20.228000000000002</v>
      </c>
      <c r="H1328" s="49">
        <v>45130.665719999997</v>
      </c>
      <c r="I1328" s="49"/>
      <c r="J1328" s="5">
        <f t="shared" si="317"/>
        <v>45130.665719999997</v>
      </c>
      <c r="K1328" s="5">
        <f t="shared" si="318"/>
        <v>2231.0987601344668</v>
      </c>
      <c r="L1328" s="5">
        <f t="shared" si="320"/>
        <v>0.65777137707621336</v>
      </c>
      <c r="M1328" s="5">
        <f t="shared" si="321"/>
        <v>0</v>
      </c>
      <c r="N1328" s="5">
        <f t="shared" si="322"/>
        <v>13295.7</v>
      </c>
    </row>
    <row r="1329" spans="1:14" ht="31.5" x14ac:dyDescent="0.25">
      <c r="A1329" s="38">
        <v>20</v>
      </c>
      <c r="B1329" s="34" t="s">
        <v>985</v>
      </c>
      <c r="C1329" s="18">
        <v>20552000000</v>
      </c>
      <c r="D1329" s="32" t="s">
        <v>2461</v>
      </c>
      <c r="E1329" s="5">
        <v>26.834</v>
      </c>
      <c r="F1329" s="5">
        <v>0.54200000000000004</v>
      </c>
      <c r="G1329" s="5">
        <f t="shared" si="319"/>
        <v>27.376000000000001</v>
      </c>
      <c r="H1329" s="49">
        <v>90542.545469999997</v>
      </c>
      <c r="I1329" s="49">
        <f>(9567.3)*0.6</f>
        <v>5740.3799999999992</v>
      </c>
      <c r="J1329" s="5">
        <f t="shared" si="317"/>
        <v>96282.925470000002</v>
      </c>
      <c r="K1329" s="5">
        <f t="shared" si="318"/>
        <v>3517.0560151227351</v>
      </c>
      <c r="L1329" s="5">
        <f t="shared" si="320"/>
        <v>1.0368966267463806</v>
      </c>
      <c r="M1329" s="5">
        <f t="shared" si="321"/>
        <v>0</v>
      </c>
      <c r="N1329" s="5">
        <f t="shared" si="322"/>
        <v>0</v>
      </c>
    </row>
    <row r="1330" spans="1:14" ht="31.5" x14ac:dyDescent="0.25">
      <c r="A1330" s="38">
        <v>20</v>
      </c>
      <c r="B1330" s="34" t="s">
        <v>985</v>
      </c>
      <c r="C1330" s="18">
        <v>20553000000</v>
      </c>
      <c r="D1330" s="32" t="s">
        <v>2462</v>
      </c>
      <c r="E1330" s="5">
        <v>35.249000000000002</v>
      </c>
      <c r="F1330" s="5">
        <v>0.747</v>
      </c>
      <c r="G1330" s="5">
        <f t="shared" si="319"/>
        <v>35.996000000000002</v>
      </c>
      <c r="H1330" s="49">
        <v>102139.294734</v>
      </c>
      <c r="I1330" s="49"/>
      <c r="J1330" s="5">
        <f t="shared" si="317"/>
        <v>102139.294734</v>
      </c>
      <c r="K1330" s="5">
        <f t="shared" si="318"/>
        <v>2837.5179112679184</v>
      </c>
      <c r="L1330" s="5">
        <f t="shared" si="320"/>
        <v>0.83655555608870957</v>
      </c>
      <c r="M1330" s="5">
        <f t="shared" si="321"/>
        <v>0</v>
      </c>
      <c r="N1330" s="5">
        <f t="shared" si="322"/>
        <v>6197</v>
      </c>
    </row>
    <row r="1331" spans="1:14" ht="15.75" x14ac:dyDescent="0.25">
      <c r="A1331" s="38">
        <v>20</v>
      </c>
      <c r="B1331" s="34" t="s">
        <v>986</v>
      </c>
      <c r="C1331" s="18">
        <v>20554000000</v>
      </c>
      <c r="D1331" s="32" t="s">
        <v>1063</v>
      </c>
      <c r="E1331" s="5">
        <v>1433.886</v>
      </c>
      <c r="F1331" s="5">
        <v>77.668000000000006</v>
      </c>
      <c r="G1331" s="5">
        <f t="shared" si="319"/>
        <v>1511.5540000000001</v>
      </c>
      <c r="H1331" s="49">
        <v>6348506.8775299992</v>
      </c>
      <c r="I1331" s="49">
        <f>(543.9+381.7+408.05+3.053+275.16572+32.54841-8109.5+6.1+10.54556+98.3+626.1+44.2+48.4+3.9+17.2+30.6+154.677+66.728+6.43846+98.9+83.5)*0.6</f>
        <v>-3101.6963100000003</v>
      </c>
      <c r="J1331" s="5">
        <f t="shared" si="317"/>
        <v>6345405.1812199997</v>
      </c>
      <c r="K1331" s="5">
        <f t="shared" si="318"/>
        <v>4197.9348281437506</v>
      </c>
      <c r="L1331" s="5">
        <f t="shared" si="320"/>
        <v>1.2376329645837334</v>
      </c>
      <c r="M1331" s="5">
        <f t="shared" si="321"/>
        <v>352825.5</v>
      </c>
      <c r="N1331" s="5">
        <f t="shared" si="322"/>
        <v>0</v>
      </c>
    </row>
    <row r="1332" spans="1:14" ht="15.75" x14ac:dyDescent="0.25">
      <c r="A1332" s="38">
        <v>20</v>
      </c>
      <c r="B1332" s="34" t="s">
        <v>986</v>
      </c>
      <c r="C1332" s="18">
        <v>20555000000</v>
      </c>
      <c r="D1332" s="32" t="s">
        <v>2463</v>
      </c>
      <c r="E1332" s="5">
        <v>38.65</v>
      </c>
      <c r="F1332" s="5">
        <v>2.2280000000000002</v>
      </c>
      <c r="G1332" s="5">
        <f t="shared" si="319"/>
        <v>40.878</v>
      </c>
      <c r="H1332" s="49">
        <v>177904.14977600001</v>
      </c>
      <c r="I1332" s="49">
        <f>(190.7)*0.6</f>
        <v>114.41999999999999</v>
      </c>
      <c r="J1332" s="5">
        <f t="shared" si="317"/>
        <v>178018.56977600002</v>
      </c>
      <c r="K1332" s="5">
        <f t="shared" si="318"/>
        <v>4354.8747437741577</v>
      </c>
      <c r="L1332" s="5">
        <f t="shared" si="320"/>
        <v>1.2839019089563328</v>
      </c>
      <c r="M1332" s="5">
        <f t="shared" si="321"/>
        <v>12749.4</v>
      </c>
      <c r="N1332" s="5">
        <f t="shared" si="322"/>
        <v>0</v>
      </c>
    </row>
    <row r="1333" spans="1:14" ht="31.5" x14ac:dyDescent="0.25">
      <c r="A1333" s="38">
        <v>20</v>
      </c>
      <c r="B1333" s="34" t="s">
        <v>985</v>
      </c>
      <c r="C1333" s="18">
        <v>20556000000</v>
      </c>
      <c r="D1333" s="32" t="s">
        <v>2464</v>
      </c>
      <c r="E1333" s="5">
        <v>19.391999999999999</v>
      </c>
      <c r="F1333" s="5">
        <v>0.17100000000000001</v>
      </c>
      <c r="G1333" s="5">
        <f t="shared" si="319"/>
        <v>19.562999999999999</v>
      </c>
      <c r="H1333" s="49">
        <v>55002.199460000003</v>
      </c>
      <c r="I1333" s="49"/>
      <c r="J1333" s="5">
        <f t="shared" si="317"/>
        <v>55002.199460000003</v>
      </c>
      <c r="K1333" s="5">
        <f t="shared" si="318"/>
        <v>2811.5421694014212</v>
      </c>
      <c r="L1333" s="5">
        <f t="shared" si="320"/>
        <v>0.82889740136987844</v>
      </c>
      <c r="M1333" s="5">
        <f t="shared" si="321"/>
        <v>0</v>
      </c>
      <c r="N1333" s="5">
        <f t="shared" si="322"/>
        <v>3774.5</v>
      </c>
    </row>
    <row r="1334" spans="1:14" ht="15.75" x14ac:dyDescent="0.25">
      <c r="A1334" s="36">
        <v>21</v>
      </c>
      <c r="B1334" s="17" t="s">
        <v>7</v>
      </c>
      <c r="C1334" s="17" t="s">
        <v>814</v>
      </c>
      <c r="D1334" s="11" t="s">
        <v>859</v>
      </c>
      <c r="E1334" s="11">
        <f t="shared" ref="E1334:J1334" si="323">E1335+E1336+E1342</f>
        <v>1016.7069999999999</v>
      </c>
      <c r="F1334" s="11">
        <f t="shared" si="323"/>
        <v>14.827000000000002</v>
      </c>
      <c r="G1334" s="11">
        <f t="shared" si="323"/>
        <v>1030.9379999999999</v>
      </c>
      <c r="H1334" s="11">
        <f t="shared" si="323"/>
        <v>2753489.0320000001</v>
      </c>
      <c r="I1334" s="11">
        <f t="shared" si="323"/>
        <v>0</v>
      </c>
      <c r="J1334" s="11">
        <f t="shared" si="323"/>
        <v>2753489.0319999997</v>
      </c>
      <c r="K1334" s="11">
        <f t="shared" si="318"/>
        <v>2670.8580263798599</v>
      </c>
      <c r="L1334" s="11">
        <f t="shared" si="320"/>
        <v>0.78742097543053446</v>
      </c>
      <c r="M1334" s="11">
        <f>M1335+M1336+M1342</f>
        <v>1287.8</v>
      </c>
      <c r="N1334" s="11">
        <f>N1335+N1336+N1342</f>
        <v>509786.89999999997</v>
      </c>
    </row>
    <row r="1335" spans="1:14" ht="15.75" x14ac:dyDescent="0.25">
      <c r="A1335" s="38">
        <v>21</v>
      </c>
      <c r="B1335" s="34" t="s">
        <v>6</v>
      </c>
      <c r="C1335" s="18" t="s">
        <v>184</v>
      </c>
      <c r="D1335" s="32" t="s">
        <v>860</v>
      </c>
      <c r="E1335" s="5">
        <v>0</v>
      </c>
      <c r="F1335" s="5">
        <v>0.59599999999999997</v>
      </c>
      <c r="G1335" s="5"/>
      <c r="H1335" s="49"/>
      <c r="I1335" s="49"/>
      <c r="J1335" s="5"/>
      <c r="K1335" s="5"/>
      <c r="L1335" s="5"/>
      <c r="M1335" s="5"/>
      <c r="N1335" s="5"/>
    </row>
    <row r="1336" spans="1:14" ht="15.75" x14ac:dyDescent="0.25">
      <c r="A1336" s="37">
        <v>21</v>
      </c>
      <c r="B1336" s="19" t="s">
        <v>5</v>
      </c>
      <c r="C1336" s="19" t="s">
        <v>815</v>
      </c>
      <c r="D1336" s="7" t="s">
        <v>2814</v>
      </c>
      <c r="E1336" s="7">
        <f t="shared" ref="E1336:J1336" si="324">SUM(E1337:E1341)</f>
        <v>0</v>
      </c>
      <c r="F1336" s="7">
        <f t="shared" si="324"/>
        <v>0</v>
      </c>
      <c r="G1336" s="7">
        <f t="shared" si="324"/>
        <v>0</v>
      </c>
      <c r="H1336" s="7">
        <f t="shared" si="324"/>
        <v>0</v>
      </c>
      <c r="I1336" s="7">
        <f t="shared" si="324"/>
        <v>0</v>
      </c>
      <c r="J1336" s="7">
        <f t="shared" si="324"/>
        <v>0</v>
      </c>
      <c r="K1336" s="7" t="e">
        <f>J1336/G1336</f>
        <v>#DIV/0!</v>
      </c>
      <c r="L1336" s="7" t="e">
        <f>K1336/$K$1659</f>
        <v>#DIV/0!</v>
      </c>
      <c r="M1336" s="7">
        <f>SUM(M1337:M1341)</f>
        <v>0</v>
      </c>
      <c r="N1336" s="7">
        <f>SUM(N1337:N1341)</f>
        <v>0</v>
      </c>
    </row>
    <row r="1337" spans="1:14" ht="15.75" x14ac:dyDescent="0.25">
      <c r="A1337" s="38">
        <v>21</v>
      </c>
      <c r="B1337" s="34" t="s">
        <v>4</v>
      </c>
      <c r="C1337" s="18" t="s">
        <v>2758</v>
      </c>
      <c r="D1337" s="32" t="s">
        <v>2759</v>
      </c>
      <c r="E1337" s="5"/>
      <c r="F1337" s="5"/>
      <c r="G1337" s="5"/>
      <c r="H1337" s="49"/>
      <c r="I1337" s="49"/>
      <c r="J1337" s="5"/>
      <c r="K1337" s="5"/>
      <c r="L1337" s="5"/>
      <c r="M1337" s="5"/>
      <c r="N1337" s="5"/>
    </row>
    <row r="1338" spans="1:14" ht="15.75" x14ac:dyDescent="0.25">
      <c r="A1338" s="38">
        <v>21</v>
      </c>
      <c r="B1338" s="34" t="s">
        <v>4</v>
      </c>
      <c r="C1338" s="18" t="s">
        <v>185</v>
      </c>
      <c r="D1338" s="32" t="s">
        <v>958</v>
      </c>
      <c r="E1338" s="5"/>
      <c r="F1338" s="5"/>
      <c r="G1338" s="5"/>
      <c r="H1338" s="49"/>
      <c r="I1338" s="49"/>
      <c r="J1338" s="5"/>
      <c r="K1338" s="5"/>
      <c r="L1338" s="5"/>
      <c r="M1338" s="5"/>
      <c r="N1338" s="5"/>
    </row>
    <row r="1339" spans="1:14" ht="15.75" x14ac:dyDescent="0.25">
      <c r="A1339" s="38">
        <v>21</v>
      </c>
      <c r="B1339" s="34" t="s">
        <v>4</v>
      </c>
      <c r="C1339" s="18" t="s">
        <v>186</v>
      </c>
      <c r="D1339" s="32" t="s">
        <v>959</v>
      </c>
      <c r="E1339" s="5"/>
      <c r="F1339" s="5"/>
      <c r="G1339" s="5"/>
      <c r="H1339" s="49"/>
      <c r="I1339" s="49"/>
      <c r="J1339" s="5"/>
      <c r="K1339" s="5"/>
      <c r="L1339" s="5"/>
      <c r="M1339" s="5"/>
      <c r="N1339" s="5"/>
    </row>
    <row r="1340" spans="1:14" ht="15.75" x14ac:dyDescent="0.25">
      <c r="A1340" s="38">
        <v>21</v>
      </c>
      <c r="B1340" s="34" t="s">
        <v>4</v>
      </c>
      <c r="C1340" s="18" t="s">
        <v>2760</v>
      </c>
      <c r="D1340" s="32" t="s">
        <v>2761</v>
      </c>
      <c r="E1340" s="5"/>
      <c r="F1340" s="5"/>
      <c r="G1340" s="5"/>
      <c r="H1340" s="49"/>
      <c r="I1340" s="49"/>
      <c r="J1340" s="5"/>
      <c r="K1340" s="5"/>
      <c r="L1340" s="5"/>
      <c r="M1340" s="5"/>
      <c r="N1340" s="5"/>
    </row>
    <row r="1341" spans="1:14" ht="15.75" x14ac:dyDescent="0.25">
      <c r="A1341" s="38">
        <v>21</v>
      </c>
      <c r="B1341" s="34" t="s">
        <v>4</v>
      </c>
      <c r="C1341" s="18">
        <v>21319200000</v>
      </c>
      <c r="D1341" s="32" t="s">
        <v>2465</v>
      </c>
      <c r="E1341" s="5"/>
      <c r="F1341" s="5"/>
      <c r="G1341" s="5"/>
      <c r="H1341" s="49"/>
      <c r="I1341" s="49"/>
      <c r="J1341" s="5"/>
      <c r="K1341" s="5"/>
      <c r="L1341" s="5"/>
      <c r="M1341" s="5"/>
      <c r="N1341" s="5"/>
    </row>
    <row r="1342" spans="1:14" ht="31.5" x14ac:dyDescent="0.25">
      <c r="A1342" s="37">
        <v>21</v>
      </c>
      <c r="B1342" s="19" t="s">
        <v>28</v>
      </c>
      <c r="C1342" s="19" t="s">
        <v>816</v>
      </c>
      <c r="D1342" s="20" t="s">
        <v>2787</v>
      </c>
      <c r="E1342" s="7">
        <f t="shared" ref="E1342:J1342" si="325">SUM(E1343:E1391)</f>
        <v>1016.7069999999999</v>
      </c>
      <c r="F1342" s="7">
        <f t="shared" si="325"/>
        <v>14.231000000000002</v>
      </c>
      <c r="G1342" s="7">
        <f t="shared" si="325"/>
        <v>1030.9379999999999</v>
      </c>
      <c r="H1342" s="7">
        <f t="shared" si="325"/>
        <v>2753489.0320000001</v>
      </c>
      <c r="I1342" s="7">
        <f t="shared" si="325"/>
        <v>0</v>
      </c>
      <c r="J1342" s="7">
        <f t="shared" si="325"/>
        <v>2753489.0319999997</v>
      </c>
      <c r="K1342" s="7">
        <f t="shared" ref="K1342:K1349" si="326">J1342/G1342</f>
        <v>2670.8580263798599</v>
      </c>
      <c r="L1342" s="7">
        <f t="shared" ref="L1342:L1373" si="327">K1342/$K$1659</f>
        <v>0.78742097543053446</v>
      </c>
      <c r="M1342" s="7">
        <f>SUM(M1343:M1391)</f>
        <v>1287.8</v>
      </c>
      <c r="N1342" s="7">
        <f>SUM(N1343:N1391)</f>
        <v>509786.89999999997</v>
      </c>
    </row>
    <row r="1343" spans="1:14" ht="31.5" x14ac:dyDescent="0.25">
      <c r="A1343" s="38">
        <v>21</v>
      </c>
      <c r="B1343" s="34" t="s">
        <v>984</v>
      </c>
      <c r="C1343" s="18" t="s">
        <v>187</v>
      </c>
      <c r="D1343" s="32" t="s">
        <v>2466</v>
      </c>
      <c r="E1343" s="5">
        <v>2.8980000000000001</v>
      </c>
      <c r="F1343" s="5">
        <v>1.4E-2</v>
      </c>
      <c r="G1343" s="5">
        <f t="shared" ref="G1343:G1371" si="328">F1343+E1343</f>
        <v>2.9119999999999999</v>
      </c>
      <c r="H1343" s="49">
        <v>5875.0690000000004</v>
      </c>
      <c r="I1343" s="49"/>
      <c r="J1343" s="5">
        <f t="shared" ref="J1343:J1349" si="329">H1343+I1343</f>
        <v>5875.0690000000004</v>
      </c>
      <c r="K1343" s="5">
        <f t="shared" si="326"/>
        <v>2017.5374313186815</v>
      </c>
      <c r="L1343" s="5">
        <f t="shared" si="327"/>
        <v>0.5948093370915204</v>
      </c>
      <c r="M1343" s="5">
        <f t="shared" ref="M1343:M1374" si="330">ROUND(IF(L1343&lt;110%,0,(K1343-$K$1659*1.1)*0.5)*G1343,1)</f>
        <v>0</v>
      </c>
      <c r="N1343" s="5">
        <f t="shared" ref="N1343:N1374" si="331">ROUND(IF(L1343&gt;90%,0,(-K1343+$K$1659*0.9)*0.8)*G1343,1)</f>
        <v>2411.6</v>
      </c>
    </row>
    <row r="1344" spans="1:14" ht="31.5" x14ac:dyDescent="0.25">
      <c r="A1344" s="38">
        <v>21</v>
      </c>
      <c r="B1344" s="34" t="s">
        <v>985</v>
      </c>
      <c r="C1344" s="18" t="s">
        <v>433</v>
      </c>
      <c r="D1344" s="32" t="s">
        <v>3119</v>
      </c>
      <c r="E1344" s="5">
        <v>6.3360000000000003</v>
      </c>
      <c r="F1344" s="5">
        <v>3.1E-2</v>
      </c>
      <c r="G1344" s="5">
        <f t="shared" si="328"/>
        <v>6.367</v>
      </c>
      <c r="H1344" s="49">
        <v>13000.181</v>
      </c>
      <c r="I1344" s="49"/>
      <c r="J1344" s="5">
        <f t="shared" si="329"/>
        <v>13000.181</v>
      </c>
      <c r="K1344" s="5">
        <f t="shared" si="326"/>
        <v>2041.8063452175279</v>
      </c>
      <c r="L1344" s="5">
        <f t="shared" si="327"/>
        <v>0.60196428567587901</v>
      </c>
      <c r="M1344" s="5">
        <f t="shared" si="330"/>
        <v>0</v>
      </c>
      <c r="N1344" s="5">
        <f t="shared" si="331"/>
        <v>5149.2</v>
      </c>
    </row>
    <row r="1345" spans="1:14" ht="31.5" x14ac:dyDescent="0.25">
      <c r="A1345" s="38">
        <v>21</v>
      </c>
      <c r="B1345" s="34" t="s">
        <v>985</v>
      </c>
      <c r="C1345" s="18" t="s">
        <v>434</v>
      </c>
      <c r="D1345" s="32" t="s">
        <v>3120</v>
      </c>
      <c r="E1345" s="5">
        <v>17.003</v>
      </c>
      <c r="F1345" s="5">
        <v>7.8E-2</v>
      </c>
      <c r="G1345" s="5">
        <f t="shared" si="328"/>
        <v>17.081</v>
      </c>
      <c r="H1345" s="49">
        <v>40400.444000000003</v>
      </c>
      <c r="I1345" s="49"/>
      <c r="J1345" s="5">
        <f t="shared" si="329"/>
        <v>40400.444000000003</v>
      </c>
      <c r="K1345" s="5">
        <f t="shared" si="326"/>
        <v>2365.2270944324105</v>
      </c>
      <c r="L1345" s="5">
        <f t="shared" si="327"/>
        <v>0.69731502289437508</v>
      </c>
      <c r="M1345" s="5">
        <f t="shared" si="330"/>
        <v>0</v>
      </c>
      <c r="N1345" s="5">
        <f t="shared" si="331"/>
        <v>9394.4</v>
      </c>
    </row>
    <row r="1346" spans="1:14" ht="31.5" x14ac:dyDescent="0.25">
      <c r="A1346" s="38">
        <v>21</v>
      </c>
      <c r="B1346" s="34" t="s">
        <v>985</v>
      </c>
      <c r="C1346" s="18" t="s">
        <v>435</v>
      </c>
      <c r="D1346" s="32" t="s">
        <v>1368</v>
      </c>
      <c r="E1346" s="5">
        <v>3.7869999999999999</v>
      </c>
      <c r="F1346" s="5">
        <v>2.5999999999999999E-2</v>
      </c>
      <c r="G1346" s="5">
        <f t="shared" si="328"/>
        <v>3.8129999999999997</v>
      </c>
      <c r="H1346" s="49">
        <v>11659.977000000001</v>
      </c>
      <c r="I1346" s="49"/>
      <c r="J1346" s="5">
        <f t="shared" si="329"/>
        <v>11659.977000000001</v>
      </c>
      <c r="K1346" s="5">
        <f t="shared" si="326"/>
        <v>3057.9535798583797</v>
      </c>
      <c r="L1346" s="5">
        <f t="shared" si="327"/>
        <v>0.90154428535353359</v>
      </c>
      <c r="M1346" s="5">
        <f t="shared" si="330"/>
        <v>0</v>
      </c>
      <c r="N1346" s="5">
        <f t="shared" si="331"/>
        <v>0</v>
      </c>
    </row>
    <row r="1347" spans="1:14" ht="31.5" x14ac:dyDescent="0.25">
      <c r="A1347" s="38">
        <v>21</v>
      </c>
      <c r="B1347" s="34" t="s">
        <v>985</v>
      </c>
      <c r="C1347" s="18" t="s">
        <v>436</v>
      </c>
      <c r="D1347" s="32" t="s">
        <v>3121</v>
      </c>
      <c r="E1347" s="5">
        <v>17.22</v>
      </c>
      <c r="F1347" s="5">
        <v>0.128</v>
      </c>
      <c r="G1347" s="5">
        <f t="shared" si="328"/>
        <v>17.347999999999999</v>
      </c>
      <c r="H1347" s="49">
        <v>43426.337</v>
      </c>
      <c r="I1347" s="49"/>
      <c r="J1347" s="5">
        <f t="shared" si="329"/>
        <v>43426.337</v>
      </c>
      <c r="K1347" s="5">
        <f t="shared" si="326"/>
        <v>2503.2474636845745</v>
      </c>
      <c r="L1347" s="5">
        <f t="shared" si="327"/>
        <v>0.73800611643525083</v>
      </c>
      <c r="M1347" s="5">
        <f t="shared" si="330"/>
        <v>0</v>
      </c>
      <c r="N1347" s="5">
        <f t="shared" si="331"/>
        <v>7625.7</v>
      </c>
    </row>
    <row r="1348" spans="1:14" ht="31.5" x14ac:dyDescent="0.25">
      <c r="A1348" s="38">
        <v>21</v>
      </c>
      <c r="B1348" s="34" t="s">
        <v>984</v>
      </c>
      <c r="C1348" s="18" t="s">
        <v>437</v>
      </c>
      <c r="D1348" s="32" t="s">
        <v>2470</v>
      </c>
      <c r="E1348" s="5">
        <v>8.1950000000000003</v>
      </c>
      <c r="F1348" s="5">
        <v>1.2E-2</v>
      </c>
      <c r="G1348" s="5">
        <f t="shared" si="328"/>
        <v>8.2070000000000007</v>
      </c>
      <c r="H1348" s="49">
        <v>19594.616999999998</v>
      </c>
      <c r="I1348" s="49"/>
      <c r="J1348" s="5">
        <f t="shared" si="329"/>
        <v>19594.616999999998</v>
      </c>
      <c r="K1348" s="5">
        <f t="shared" si="326"/>
        <v>2387.5492871938586</v>
      </c>
      <c r="L1348" s="5">
        <f t="shared" si="327"/>
        <v>0.70389604016461615</v>
      </c>
      <c r="M1348" s="5">
        <f t="shared" si="330"/>
        <v>0</v>
      </c>
      <c r="N1348" s="5">
        <f t="shared" si="331"/>
        <v>4367.2</v>
      </c>
    </row>
    <row r="1349" spans="1:14" ht="31.5" x14ac:dyDescent="0.25">
      <c r="A1349" s="38">
        <v>21</v>
      </c>
      <c r="B1349" s="34" t="s">
        <v>984</v>
      </c>
      <c r="C1349" s="18" t="s">
        <v>438</v>
      </c>
      <c r="D1349" s="32" t="s">
        <v>2471</v>
      </c>
      <c r="E1349" s="5">
        <v>6.8869999999999996</v>
      </c>
      <c r="F1349" s="5">
        <v>4.2999999999999997E-2</v>
      </c>
      <c r="G1349" s="5">
        <f t="shared" si="328"/>
        <v>6.93</v>
      </c>
      <c r="H1349" s="49">
        <v>7517.2479999999996</v>
      </c>
      <c r="I1349" s="49"/>
      <c r="J1349" s="5">
        <f t="shared" si="329"/>
        <v>7517.2479999999996</v>
      </c>
      <c r="K1349" s="5">
        <f t="shared" si="326"/>
        <v>1084.7399711399712</v>
      </c>
      <c r="L1349" s="5">
        <f t="shared" si="327"/>
        <v>0.31980247460822753</v>
      </c>
      <c r="M1349" s="5">
        <f t="shared" si="330"/>
        <v>0</v>
      </c>
      <c r="N1349" s="5">
        <f t="shared" si="331"/>
        <v>10910.5</v>
      </c>
    </row>
    <row r="1350" spans="1:14" ht="31.5" x14ac:dyDescent="0.25">
      <c r="A1350" s="38">
        <v>21</v>
      </c>
      <c r="B1350" s="34" t="s">
        <v>984</v>
      </c>
      <c r="C1350" s="18" t="s">
        <v>439</v>
      </c>
      <c r="D1350" s="32" t="s">
        <v>2472</v>
      </c>
      <c r="E1350" s="5">
        <v>4.8159999999999998</v>
      </c>
      <c r="F1350" s="5">
        <v>4.4999999999999998E-2</v>
      </c>
      <c r="G1350" s="5">
        <f t="shared" si="328"/>
        <v>4.8609999999999998</v>
      </c>
      <c r="H1350" s="49">
        <v>15778.039000000001</v>
      </c>
      <c r="I1350" s="49"/>
      <c r="J1350" s="5">
        <f t="shared" ref="J1350:J1366" si="332">H1350+I1350</f>
        <v>15778.039000000001</v>
      </c>
      <c r="K1350" s="5">
        <f t="shared" ref="K1350:K1366" si="333">J1350/G1350</f>
        <v>3245.8422135363098</v>
      </c>
      <c r="L1350" s="5">
        <f t="shared" si="327"/>
        <v>0.95693751469845589</v>
      </c>
      <c r="M1350" s="5">
        <f t="shared" si="330"/>
        <v>0</v>
      </c>
      <c r="N1350" s="5">
        <f t="shared" si="331"/>
        <v>0</v>
      </c>
    </row>
    <row r="1351" spans="1:14" ht="31.5" x14ac:dyDescent="0.25">
      <c r="A1351" s="38">
        <v>21</v>
      </c>
      <c r="B1351" s="34" t="s">
        <v>984</v>
      </c>
      <c r="C1351" s="18" t="s">
        <v>440</v>
      </c>
      <c r="D1351" s="32" t="s">
        <v>2473</v>
      </c>
      <c r="E1351" s="5">
        <v>3.6930000000000001</v>
      </c>
      <c r="F1351" s="5">
        <v>1.6E-2</v>
      </c>
      <c r="G1351" s="5">
        <f t="shared" si="328"/>
        <v>3.7090000000000001</v>
      </c>
      <c r="H1351" s="49">
        <v>16414.222000000002</v>
      </c>
      <c r="I1351" s="49"/>
      <c r="J1351" s="5">
        <f t="shared" si="332"/>
        <v>16414.222000000002</v>
      </c>
      <c r="K1351" s="5">
        <f t="shared" si="333"/>
        <v>4425.5114586141817</v>
      </c>
      <c r="L1351" s="5">
        <f t="shared" si="327"/>
        <v>1.3047269885192216</v>
      </c>
      <c r="M1351" s="5">
        <f t="shared" si="330"/>
        <v>1287.8</v>
      </c>
      <c r="N1351" s="5">
        <f t="shared" si="331"/>
        <v>0</v>
      </c>
    </row>
    <row r="1352" spans="1:14" ht="31.5" x14ac:dyDescent="0.25">
      <c r="A1352" s="38">
        <v>21</v>
      </c>
      <c r="B1352" s="34" t="s">
        <v>984</v>
      </c>
      <c r="C1352" s="18" t="s">
        <v>441</v>
      </c>
      <c r="D1352" s="32" t="s">
        <v>2474</v>
      </c>
      <c r="E1352" s="5">
        <v>4.9119999999999999</v>
      </c>
      <c r="F1352" s="5">
        <v>8.0000000000000002E-3</v>
      </c>
      <c r="G1352" s="5">
        <f t="shared" si="328"/>
        <v>4.92</v>
      </c>
      <c r="H1352" s="49">
        <v>17770.563999999998</v>
      </c>
      <c r="I1352" s="49"/>
      <c r="J1352" s="5">
        <f t="shared" si="332"/>
        <v>17770.563999999998</v>
      </c>
      <c r="K1352" s="5">
        <f t="shared" si="333"/>
        <v>3611.90325203252</v>
      </c>
      <c r="L1352" s="5">
        <f t="shared" si="327"/>
        <v>1.06485943984492</v>
      </c>
      <c r="M1352" s="5">
        <f t="shared" si="330"/>
        <v>0</v>
      </c>
      <c r="N1352" s="5">
        <f t="shared" si="331"/>
        <v>0</v>
      </c>
    </row>
    <row r="1353" spans="1:14" ht="31.5" x14ac:dyDescent="0.25">
      <c r="A1353" s="38">
        <v>21</v>
      </c>
      <c r="B1353" s="34" t="s">
        <v>984</v>
      </c>
      <c r="C1353" s="18" t="s">
        <v>442</v>
      </c>
      <c r="D1353" s="32" t="s">
        <v>2475</v>
      </c>
      <c r="E1353" s="5">
        <v>5.3940000000000001</v>
      </c>
      <c r="F1353" s="5">
        <v>5.0000000000000001E-3</v>
      </c>
      <c r="G1353" s="5">
        <f t="shared" si="328"/>
        <v>5.399</v>
      </c>
      <c r="H1353" s="49">
        <v>14020.933999999999</v>
      </c>
      <c r="I1353" s="49"/>
      <c r="J1353" s="5">
        <f t="shared" si="332"/>
        <v>14020.933999999999</v>
      </c>
      <c r="K1353" s="5">
        <f t="shared" si="333"/>
        <v>2596.9501759585105</v>
      </c>
      <c r="L1353" s="5">
        <f t="shared" si="327"/>
        <v>0.76563150137539948</v>
      </c>
      <c r="M1353" s="5">
        <f t="shared" si="330"/>
        <v>0</v>
      </c>
      <c r="N1353" s="5">
        <f t="shared" si="331"/>
        <v>1968.5</v>
      </c>
    </row>
    <row r="1354" spans="1:14" ht="31.5" x14ac:dyDescent="0.25">
      <c r="A1354" s="38">
        <v>21</v>
      </c>
      <c r="B1354" s="34" t="s">
        <v>984</v>
      </c>
      <c r="C1354" s="18" t="s">
        <v>499</v>
      </c>
      <c r="D1354" s="32" t="s">
        <v>2476</v>
      </c>
      <c r="E1354" s="5">
        <v>12.042</v>
      </c>
      <c r="F1354" s="5">
        <v>4.4999999999999998E-2</v>
      </c>
      <c r="G1354" s="5">
        <f t="shared" si="328"/>
        <v>12.087</v>
      </c>
      <c r="H1354" s="49">
        <v>9766.0380000000005</v>
      </c>
      <c r="I1354" s="49"/>
      <c r="J1354" s="5">
        <f t="shared" si="332"/>
        <v>9766.0380000000005</v>
      </c>
      <c r="K1354" s="5">
        <f t="shared" si="333"/>
        <v>807.97865475304047</v>
      </c>
      <c r="L1354" s="5">
        <f t="shared" si="327"/>
        <v>0.2382078471295743</v>
      </c>
      <c r="M1354" s="5">
        <f t="shared" si="330"/>
        <v>0</v>
      </c>
      <c r="N1354" s="5">
        <f t="shared" si="331"/>
        <v>21705.7</v>
      </c>
    </row>
    <row r="1355" spans="1:14" ht="31.5" x14ac:dyDescent="0.25">
      <c r="A1355" s="38">
        <v>21</v>
      </c>
      <c r="B1355" s="34" t="s">
        <v>985</v>
      </c>
      <c r="C1355" s="18" t="s">
        <v>500</v>
      </c>
      <c r="D1355" s="32" t="s">
        <v>2477</v>
      </c>
      <c r="E1355" s="5">
        <v>14.885</v>
      </c>
      <c r="F1355" s="5">
        <v>4.7E-2</v>
      </c>
      <c r="G1355" s="5">
        <f t="shared" si="328"/>
        <v>14.932</v>
      </c>
      <c r="H1355" s="49">
        <v>30699.427</v>
      </c>
      <c r="I1355" s="49"/>
      <c r="J1355" s="5">
        <f t="shared" si="332"/>
        <v>30699.427</v>
      </c>
      <c r="K1355" s="5">
        <f t="shared" si="333"/>
        <v>2055.9487677471202</v>
      </c>
      <c r="L1355" s="5">
        <f t="shared" si="327"/>
        <v>0.6061337473369679</v>
      </c>
      <c r="M1355" s="5">
        <f t="shared" si="330"/>
        <v>0</v>
      </c>
      <c r="N1355" s="5">
        <f t="shared" si="331"/>
        <v>11907</v>
      </c>
    </row>
    <row r="1356" spans="1:14" s="31" customFormat="1" ht="31.5" x14ac:dyDescent="0.25">
      <c r="A1356" s="38">
        <v>21</v>
      </c>
      <c r="B1356" s="34" t="s">
        <v>984</v>
      </c>
      <c r="C1356" s="18" t="s">
        <v>632</v>
      </c>
      <c r="D1356" s="32" t="s">
        <v>2478</v>
      </c>
      <c r="E1356" s="5">
        <v>9.9359999999999999</v>
      </c>
      <c r="F1356" s="5">
        <v>6.8000000000000005E-2</v>
      </c>
      <c r="G1356" s="5">
        <f t="shared" si="328"/>
        <v>10.004</v>
      </c>
      <c r="H1356" s="49">
        <v>10672.822</v>
      </c>
      <c r="I1356" s="49"/>
      <c r="J1356" s="5">
        <f t="shared" si="332"/>
        <v>10672.822</v>
      </c>
      <c r="K1356" s="5">
        <f t="shared" si="333"/>
        <v>1066.8554578168732</v>
      </c>
      <c r="L1356" s="5">
        <f t="shared" si="327"/>
        <v>0.3145297716839684</v>
      </c>
      <c r="M1356" s="5">
        <f t="shared" si="330"/>
        <v>0</v>
      </c>
      <c r="N1356" s="5">
        <f t="shared" si="331"/>
        <v>15893.2</v>
      </c>
    </row>
    <row r="1357" spans="1:14" s="31" customFormat="1" ht="31.5" x14ac:dyDescent="0.25">
      <c r="A1357" s="38">
        <v>21</v>
      </c>
      <c r="B1357" s="34" t="s">
        <v>985</v>
      </c>
      <c r="C1357" s="18" t="s">
        <v>633</v>
      </c>
      <c r="D1357" s="32" t="s">
        <v>2479</v>
      </c>
      <c r="E1357" s="5">
        <v>21.925999999999998</v>
      </c>
      <c r="F1357" s="5">
        <v>0.158</v>
      </c>
      <c r="G1357" s="5">
        <f t="shared" si="328"/>
        <v>22.084</v>
      </c>
      <c r="H1357" s="49">
        <v>43667.014000000003</v>
      </c>
      <c r="I1357" s="49"/>
      <c r="J1357" s="5">
        <f t="shared" si="332"/>
        <v>43667.014000000003</v>
      </c>
      <c r="K1357" s="5">
        <f t="shared" si="333"/>
        <v>1977.3145263539216</v>
      </c>
      <c r="L1357" s="5">
        <f t="shared" si="327"/>
        <v>0.58295084115157325</v>
      </c>
      <c r="M1357" s="5">
        <f t="shared" si="330"/>
        <v>0</v>
      </c>
      <c r="N1357" s="5">
        <f t="shared" si="331"/>
        <v>18999.3</v>
      </c>
    </row>
    <row r="1358" spans="1:14" s="31" customFormat="1" ht="31.5" x14ac:dyDescent="0.25">
      <c r="A1358" s="38">
        <v>21</v>
      </c>
      <c r="B1358" s="34" t="s">
        <v>984</v>
      </c>
      <c r="C1358" s="18" t="s">
        <v>634</v>
      </c>
      <c r="D1358" s="32" t="s">
        <v>2480</v>
      </c>
      <c r="E1358" s="5">
        <v>3.665</v>
      </c>
      <c r="F1358" s="5">
        <v>2E-3</v>
      </c>
      <c r="G1358" s="5">
        <f t="shared" si="328"/>
        <v>3.6669999999999998</v>
      </c>
      <c r="H1358" s="49">
        <v>11954.6</v>
      </c>
      <c r="I1358" s="49"/>
      <c r="J1358" s="5">
        <f t="shared" si="332"/>
        <v>11954.6</v>
      </c>
      <c r="K1358" s="5">
        <f t="shared" si="333"/>
        <v>3260.0490864466869</v>
      </c>
      <c r="L1358" s="5">
        <f t="shared" si="327"/>
        <v>0.96112597758731622</v>
      </c>
      <c r="M1358" s="5">
        <f t="shared" si="330"/>
        <v>0</v>
      </c>
      <c r="N1358" s="5">
        <f t="shared" si="331"/>
        <v>0</v>
      </c>
    </row>
    <row r="1359" spans="1:14" s="31" customFormat="1" ht="31.5" x14ac:dyDescent="0.25">
      <c r="A1359" s="38">
        <v>21</v>
      </c>
      <c r="B1359" s="34" t="s">
        <v>985</v>
      </c>
      <c r="C1359" s="18" t="s">
        <v>635</v>
      </c>
      <c r="D1359" s="32" t="s">
        <v>2481</v>
      </c>
      <c r="E1359" s="5">
        <v>11.002000000000001</v>
      </c>
      <c r="F1359" s="5">
        <v>4.3999999999999997E-2</v>
      </c>
      <c r="G1359" s="5">
        <f t="shared" si="328"/>
        <v>11.046000000000001</v>
      </c>
      <c r="H1359" s="49">
        <v>23878.724999999999</v>
      </c>
      <c r="I1359" s="49"/>
      <c r="J1359" s="5">
        <f t="shared" si="332"/>
        <v>23878.724999999999</v>
      </c>
      <c r="K1359" s="5">
        <f t="shared" si="333"/>
        <v>2161.7531233025525</v>
      </c>
      <c r="L1359" s="5">
        <f t="shared" si="327"/>
        <v>0.63732693246076921</v>
      </c>
      <c r="M1359" s="5">
        <f t="shared" si="330"/>
        <v>0</v>
      </c>
      <c r="N1359" s="5">
        <f t="shared" si="331"/>
        <v>7873.3</v>
      </c>
    </row>
    <row r="1360" spans="1:14" s="31" customFormat="1" ht="15.75" x14ac:dyDescent="0.25">
      <c r="A1360" s="38">
        <v>21</v>
      </c>
      <c r="B1360" s="34" t="s">
        <v>984</v>
      </c>
      <c r="C1360" s="18" t="s">
        <v>636</v>
      </c>
      <c r="D1360" s="32" t="s">
        <v>2482</v>
      </c>
      <c r="E1360" s="5">
        <v>10.335000000000001</v>
      </c>
      <c r="F1360" s="5">
        <v>5.5E-2</v>
      </c>
      <c r="G1360" s="5">
        <f t="shared" si="328"/>
        <v>10.39</v>
      </c>
      <c r="H1360" s="49">
        <v>19945.748</v>
      </c>
      <c r="I1360" s="49"/>
      <c r="J1360" s="5">
        <f t="shared" si="332"/>
        <v>19945.748</v>
      </c>
      <c r="K1360" s="5">
        <f t="shared" si="333"/>
        <v>1919.7062560153993</v>
      </c>
      <c r="L1360" s="5">
        <f t="shared" si="327"/>
        <v>0.5659668008264086</v>
      </c>
      <c r="M1360" s="5">
        <f t="shared" si="330"/>
        <v>0</v>
      </c>
      <c r="N1360" s="5">
        <f t="shared" si="331"/>
        <v>9417.6</v>
      </c>
    </row>
    <row r="1361" spans="1:14" s="31" customFormat="1" ht="31.5" x14ac:dyDescent="0.25">
      <c r="A1361" s="38">
        <v>21</v>
      </c>
      <c r="B1361" s="34" t="s">
        <v>984</v>
      </c>
      <c r="C1361" s="18" t="s">
        <v>637</v>
      </c>
      <c r="D1361" s="32" t="s">
        <v>2483</v>
      </c>
      <c r="E1361" s="5">
        <v>7.6079999999999997</v>
      </c>
      <c r="F1361" s="5">
        <v>4.1000000000000002E-2</v>
      </c>
      <c r="G1361" s="5">
        <f t="shared" si="328"/>
        <v>7.649</v>
      </c>
      <c r="H1361" s="49">
        <v>9678.4279999999999</v>
      </c>
      <c r="I1361" s="49"/>
      <c r="J1361" s="5">
        <f t="shared" si="332"/>
        <v>9678.4279999999999</v>
      </c>
      <c r="K1361" s="5">
        <f t="shared" si="333"/>
        <v>1265.3193881553143</v>
      </c>
      <c r="L1361" s="5">
        <f t="shared" si="327"/>
        <v>0.37304080449490779</v>
      </c>
      <c r="M1361" s="5">
        <f t="shared" si="330"/>
        <v>0</v>
      </c>
      <c r="N1361" s="5">
        <f t="shared" si="331"/>
        <v>10937.4</v>
      </c>
    </row>
    <row r="1362" spans="1:14" ht="31.5" x14ac:dyDescent="0.25">
      <c r="A1362" s="38">
        <v>21</v>
      </c>
      <c r="B1362" s="34" t="s">
        <v>984</v>
      </c>
      <c r="C1362" s="18" t="s">
        <v>638</v>
      </c>
      <c r="D1362" s="32" t="s">
        <v>1659</v>
      </c>
      <c r="E1362" s="5">
        <v>3.9049999999999998</v>
      </c>
      <c r="F1362" s="5">
        <v>1.7000000000000001E-2</v>
      </c>
      <c r="G1362" s="5">
        <f t="shared" si="328"/>
        <v>3.9219999999999997</v>
      </c>
      <c r="H1362" s="49">
        <v>10526.476000000001</v>
      </c>
      <c r="I1362" s="49"/>
      <c r="J1362" s="5">
        <f t="shared" si="332"/>
        <v>10526.476000000001</v>
      </c>
      <c r="K1362" s="5">
        <f t="shared" si="333"/>
        <v>2683.9561448240697</v>
      </c>
      <c r="L1362" s="5">
        <f t="shared" si="327"/>
        <v>0.79128255590384167</v>
      </c>
      <c r="M1362" s="5">
        <f t="shared" si="330"/>
        <v>0</v>
      </c>
      <c r="N1362" s="5">
        <f t="shared" si="331"/>
        <v>1157</v>
      </c>
    </row>
    <row r="1363" spans="1:14" ht="15.75" x14ac:dyDescent="0.25">
      <c r="A1363" s="38">
        <v>21</v>
      </c>
      <c r="B1363" s="34" t="s">
        <v>985</v>
      </c>
      <c r="C1363" s="18" t="s">
        <v>639</v>
      </c>
      <c r="D1363" s="32" t="s">
        <v>2484</v>
      </c>
      <c r="E1363" s="5">
        <v>12.994999999999999</v>
      </c>
      <c r="F1363" s="5">
        <v>5.7000000000000002E-2</v>
      </c>
      <c r="G1363" s="5">
        <f t="shared" si="328"/>
        <v>13.052</v>
      </c>
      <c r="H1363" s="49">
        <v>34053.595999999998</v>
      </c>
      <c r="I1363" s="49"/>
      <c r="J1363" s="5">
        <f t="shared" si="332"/>
        <v>34053.595999999998</v>
      </c>
      <c r="K1363" s="5">
        <f t="shared" si="333"/>
        <v>2609.0711002145263</v>
      </c>
      <c r="L1363" s="5">
        <f t="shared" si="327"/>
        <v>0.76920498596594056</v>
      </c>
      <c r="M1363" s="5">
        <f t="shared" si="330"/>
        <v>0</v>
      </c>
      <c r="N1363" s="5">
        <f t="shared" si="331"/>
        <v>4632.3999999999996</v>
      </c>
    </row>
    <row r="1364" spans="1:14" ht="15.75" x14ac:dyDescent="0.25">
      <c r="A1364" s="38">
        <v>21</v>
      </c>
      <c r="B1364" s="34" t="s">
        <v>984</v>
      </c>
      <c r="C1364" s="18" t="s">
        <v>640</v>
      </c>
      <c r="D1364" s="32" t="s">
        <v>2485</v>
      </c>
      <c r="E1364" s="5">
        <v>12.342000000000001</v>
      </c>
      <c r="F1364" s="5">
        <v>4.1000000000000002E-2</v>
      </c>
      <c r="G1364" s="5">
        <f t="shared" si="328"/>
        <v>12.383000000000001</v>
      </c>
      <c r="H1364" s="49">
        <v>13602.07</v>
      </c>
      <c r="I1364" s="49"/>
      <c r="J1364" s="5">
        <f t="shared" si="332"/>
        <v>13602.07</v>
      </c>
      <c r="K1364" s="5">
        <f t="shared" si="333"/>
        <v>1098.4470645239439</v>
      </c>
      <c r="L1364" s="5">
        <f t="shared" si="327"/>
        <v>0.3238435927568229</v>
      </c>
      <c r="M1364" s="5">
        <f t="shared" si="330"/>
        <v>0</v>
      </c>
      <c r="N1364" s="5">
        <f t="shared" si="331"/>
        <v>19359.8</v>
      </c>
    </row>
    <row r="1365" spans="1:14" ht="31.5" x14ac:dyDescent="0.25">
      <c r="A1365" s="38">
        <v>21</v>
      </c>
      <c r="B1365" s="34" t="s">
        <v>985</v>
      </c>
      <c r="C1365" s="18" t="s">
        <v>641</v>
      </c>
      <c r="D1365" s="32" t="s">
        <v>2486</v>
      </c>
      <c r="E1365" s="5">
        <v>7.5789999999999997</v>
      </c>
      <c r="F1365" s="5">
        <v>2.3E-2</v>
      </c>
      <c r="G1365" s="5">
        <f t="shared" si="328"/>
        <v>7.6019999999999994</v>
      </c>
      <c r="H1365" s="49">
        <v>16877.213</v>
      </c>
      <c r="I1365" s="49"/>
      <c r="J1365" s="5">
        <f t="shared" si="332"/>
        <v>16877.213</v>
      </c>
      <c r="K1365" s="5">
        <f t="shared" si="333"/>
        <v>2220.1016837674297</v>
      </c>
      <c r="L1365" s="5">
        <f t="shared" si="327"/>
        <v>0.65452922473629527</v>
      </c>
      <c r="M1365" s="5">
        <f t="shared" si="330"/>
        <v>0</v>
      </c>
      <c r="N1365" s="5">
        <f t="shared" si="331"/>
        <v>5063.6000000000004</v>
      </c>
    </row>
    <row r="1366" spans="1:14" ht="31.5" x14ac:dyDescent="0.25">
      <c r="A1366" s="38">
        <v>21</v>
      </c>
      <c r="B1366" s="34" t="s">
        <v>984</v>
      </c>
      <c r="C1366" s="18" t="s">
        <v>716</v>
      </c>
      <c r="D1366" s="32" t="s">
        <v>2487</v>
      </c>
      <c r="E1366" s="5">
        <v>4.5579999999999998</v>
      </c>
      <c r="F1366" s="5">
        <v>5.0000000000000001E-3</v>
      </c>
      <c r="G1366" s="5">
        <f t="shared" si="328"/>
        <v>4.5629999999999997</v>
      </c>
      <c r="H1366" s="49">
        <v>4657.6660000000002</v>
      </c>
      <c r="I1366" s="49"/>
      <c r="J1366" s="5">
        <f t="shared" si="332"/>
        <v>4657.6660000000002</v>
      </c>
      <c r="K1366" s="5">
        <f t="shared" si="333"/>
        <v>1020.7464387464388</v>
      </c>
      <c r="L1366" s="5">
        <f t="shared" si="327"/>
        <v>0.30093593464209528</v>
      </c>
      <c r="M1366" s="5">
        <f t="shared" si="330"/>
        <v>0</v>
      </c>
      <c r="N1366" s="5">
        <f t="shared" si="331"/>
        <v>7417.5</v>
      </c>
    </row>
    <row r="1367" spans="1:14" ht="31.5" x14ac:dyDescent="0.25">
      <c r="A1367" s="38">
        <v>21</v>
      </c>
      <c r="B1367" s="34" t="s">
        <v>984</v>
      </c>
      <c r="C1367" s="18">
        <v>21527000000</v>
      </c>
      <c r="D1367" s="32" t="s">
        <v>2488</v>
      </c>
      <c r="E1367" s="5">
        <v>5.8220000000000001</v>
      </c>
      <c r="F1367" s="5">
        <v>2.1000000000000001E-2</v>
      </c>
      <c r="G1367" s="5">
        <f t="shared" si="328"/>
        <v>5.843</v>
      </c>
      <c r="H1367" s="49">
        <v>15659.099</v>
      </c>
      <c r="I1367" s="49"/>
      <c r="J1367" s="5">
        <f t="shared" ref="J1367:J1391" si="334">H1367+I1367</f>
        <v>15659.099</v>
      </c>
      <c r="K1367" s="5">
        <f t="shared" ref="K1367:K1392" si="335">J1367/G1367</f>
        <v>2679.9758685606707</v>
      </c>
      <c r="L1367" s="5">
        <f t="shared" si="327"/>
        <v>0.79010909292421005</v>
      </c>
      <c r="M1367" s="5">
        <f t="shared" si="330"/>
        <v>0</v>
      </c>
      <c r="N1367" s="5">
        <f t="shared" si="331"/>
        <v>1742.3</v>
      </c>
    </row>
    <row r="1368" spans="1:14" ht="31.5" x14ac:dyDescent="0.25">
      <c r="A1368" s="38">
        <v>21</v>
      </c>
      <c r="B1368" s="34" t="s">
        <v>986</v>
      </c>
      <c r="C1368" s="18">
        <v>21528000000</v>
      </c>
      <c r="D1368" s="32" t="s">
        <v>3122</v>
      </c>
      <c r="E1368" s="5">
        <v>59.749000000000002</v>
      </c>
      <c r="F1368" s="5">
        <v>0.82499999999999996</v>
      </c>
      <c r="G1368" s="5">
        <f t="shared" si="328"/>
        <v>60.574000000000005</v>
      </c>
      <c r="H1368" s="49">
        <v>219937.122</v>
      </c>
      <c r="I1368" s="86">
        <f>(2231.781)*0.6</f>
        <v>1339.0685999999998</v>
      </c>
      <c r="J1368" s="5">
        <f t="shared" si="334"/>
        <v>221276.1906</v>
      </c>
      <c r="K1368" s="5">
        <f t="shared" si="335"/>
        <v>3652.9895763859076</v>
      </c>
      <c r="L1368" s="5">
        <f t="shared" si="327"/>
        <v>1.076972488640348</v>
      </c>
      <c r="M1368" s="5">
        <f t="shared" si="330"/>
        <v>0</v>
      </c>
      <c r="N1368" s="5">
        <f t="shared" si="331"/>
        <v>0</v>
      </c>
    </row>
    <row r="1369" spans="1:14" ht="31.5" x14ac:dyDescent="0.25">
      <c r="A1369" s="38">
        <v>21</v>
      </c>
      <c r="B1369" s="34" t="s">
        <v>986</v>
      </c>
      <c r="C1369" s="18">
        <v>21529000000</v>
      </c>
      <c r="D1369" s="32" t="s">
        <v>3123</v>
      </c>
      <c r="E1369" s="5">
        <v>34.031999999999996</v>
      </c>
      <c r="F1369" s="5">
        <v>0.216</v>
      </c>
      <c r="G1369" s="5">
        <f t="shared" si="328"/>
        <v>34.247999999999998</v>
      </c>
      <c r="H1369" s="49">
        <v>70748.733999999997</v>
      </c>
      <c r="I1369" s="49"/>
      <c r="J1369" s="5">
        <f t="shared" si="334"/>
        <v>70748.733999999997</v>
      </c>
      <c r="K1369" s="5">
        <f t="shared" si="335"/>
        <v>2065.777096472787</v>
      </c>
      <c r="L1369" s="5">
        <f t="shared" si="327"/>
        <v>0.60903133010459487</v>
      </c>
      <c r="M1369" s="5">
        <f t="shared" si="330"/>
        <v>0</v>
      </c>
      <c r="N1369" s="5">
        <f t="shared" si="331"/>
        <v>27040.5</v>
      </c>
    </row>
    <row r="1370" spans="1:14" ht="15.75" x14ac:dyDescent="0.25">
      <c r="A1370" s="38">
        <v>21</v>
      </c>
      <c r="B1370" s="34" t="s">
        <v>984</v>
      </c>
      <c r="C1370" s="18">
        <v>21530000000</v>
      </c>
      <c r="D1370" s="32" t="s">
        <v>3124</v>
      </c>
      <c r="E1370" s="5">
        <v>6.7990000000000004</v>
      </c>
      <c r="F1370" s="5">
        <v>2.1999999999999999E-2</v>
      </c>
      <c r="G1370" s="5">
        <f t="shared" si="328"/>
        <v>6.8210000000000006</v>
      </c>
      <c r="H1370" s="49">
        <v>9054.7049999999999</v>
      </c>
      <c r="I1370" s="49"/>
      <c r="J1370" s="5">
        <f t="shared" si="334"/>
        <v>9054.7049999999999</v>
      </c>
      <c r="K1370" s="5">
        <f t="shared" si="335"/>
        <v>1327.4747104530127</v>
      </c>
      <c r="L1370" s="5">
        <f t="shared" si="327"/>
        <v>0.39136540431580902</v>
      </c>
      <c r="M1370" s="5">
        <f t="shared" si="330"/>
        <v>0</v>
      </c>
      <c r="N1370" s="5">
        <f t="shared" si="331"/>
        <v>9414.2999999999993</v>
      </c>
    </row>
    <row r="1371" spans="1:14" ht="31.5" x14ac:dyDescent="0.25">
      <c r="A1371" s="38">
        <v>21</v>
      </c>
      <c r="B1371" s="34" t="s">
        <v>983</v>
      </c>
      <c r="C1371" s="18">
        <v>21534000000</v>
      </c>
      <c r="D1371" s="80" t="s">
        <v>2492</v>
      </c>
      <c r="E1371" s="86">
        <v>18.062000000000001</v>
      </c>
      <c r="F1371" s="86">
        <v>0.107</v>
      </c>
      <c r="G1371" s="86">
        <f t="shared" si="328"/>
        <v>18.169</v>
      </c>
      <c r="H1371" s="86">
        <v>44661.67</v>
      </c>
      <c r="I1371" s="86"/>
      <c r="J1371" s="5">
        <f t="shared" si="334"/>
        <v>44661.67</v>
      </c>
      <c r="K1371" s="5">
        <f t="shared" si="335"/>
        <v>2458.1248280037426</v>
      </c>
      <c r="L1371" s="5">
        <f t="shared" si="327"/>
        <v>0.72470308443172782</v>
      </c>
      <c r="M1371" s="5">
        <f t="shared" si="330"/>
        <v>0</v>
      </c>
      <c r="N1371" s="5">
        <f t="shared" si="331"/>
        <v>8642.5</v>
      </c>
    </row>
    <row r="1372" spans="1:14" ht="31.5" x14ac:dyDescent="0.25">
      <c r="A1372" s="38">
        <v>21</v>
      </c>
      <c r="B1372" s="34" t="s">
        <v>985</v>
      </c>
      <c r="C1372" s="18">
        <v>21535000000</v>
      </c>
      <c r="D1372" s="80" t="s">
        <v>2493</v>
      </c>
      <c r="E1372" s="86">
        <v>11.755000000000001</v>
      </c>
      <c r="F1372" s="86">
        <v>7.0999999999999994E-2</v>
      </c>
      <c r="G1372" s="86">
        <f t="shared" ref="G1372:G1391" si="336">F1372+E1372</f>
        <v>11.826000000000001</v>
      </c>
      <c r="H1372" s="86">
        <v>30373.722000000002</v>
      </c>
      <c r="I1372" s="86">
        <f>(-2361.916)*0.6</f>
        <v>-1417.1496</v>
      </c>
      <c r="J1372" s="5">
        <f t="shared" si="334"/>
        <v>28956.572400000001</v>
      </c>
      <c r="K1372" s="5">
        <f t="shared" si="335"/>
        <v>2448.5516996448505</v>
      </c>
      <c r="L1372" s="5">
        <f t="shared" si="327"/>
        <v>0.72188073970361899</v>
      </c>
      <c r="M1372" s="5">
        <f t="shared" si="330"/>
        <v>0</v>
      </c>
      <c r="N1372" s="5">
        <f t="shared" si="331"/>
        <v>5715.9</v>
      </c>
    </row>
    <row r="1373" spans="1:14" ht="31.5" x14ac:dyDescent="0.25">
      <c r="A1373" s="38">
        <v>21</v>
      </c>
      <c r="B1373" s="34" t="s">
        <v>985</v>
      </c>
      <c r="C1373" s="18">
        <v>21536000000</v>
      </c>
      <c r="D1373" s="80" t="s">
        <v>2494</v>
      </c>
      <c r="E1373" s="86">
        <v>16.239000000000001</v>
      </c>
      <c r="F1373" s="86">
        <v>2.5999999999999999E-2</v>
      </c>
      <c r="G1373" s="86">
        <f t="shared" si="336"/>
        <v>16.265000000000001</v>
      </c>
      <c r="H1373" s="86">
        <v>34209.832999999999</v>
      </c>
      <c r="I1373" s="86"/>
      <c r="J1373" s="5">
        <f t="shared" si="334"/>
        <v>34209.832999999999</v>
      </c>
      <c r="K1373" s="5">
        <f t="shared" si="335"/>
        <v>2103.2790039963111</v>
      </c>
      <c r="L1373" s="5">
        <f t="shared" si="327"/>
        <v>0.62008762299287856</v>
      </c>
      <c r="M1373" s="5">
        <f t="shared" si="330"/>
        <v>0</v>
      </c>
      <c r="N1373" s="5">
        <f t="shared" si="331"/>
        <v>12354.1</v>
      </c>
    </row>
    <row r="1374" spans="1:14" ht="31.5" x14ac:dyDescent="0.25">
      <c r="A1374" s="38">
        <v>21</v>
      </c>
      <c r="B1374" s="34" t="s">
        <v>985</v>
      </c>
      <c r="C1374" s="18">
        <v>21537000000</v>
      </c>
      <c r="D1374" s="80" t="s">
        <v>2495</v>
      </c>
      <c r="E1374" s="86">
        <v>11.058999999999999</v>
      </c>
      <c r="F1374" s="86">
        <v>8.5999999999999993E-2</v>
      </c>
      <c r="G1374" s="86">
        <f t="shared" si="336"/>
        <v>11.145</v>
      </c>
      <c r="H1374" s="86">
        <v>18791.998</v>
      </c>
      <c r="I1374" s="86"/>
      <c r="J1374" s="5">
        <f t="shared" si="334"/>
        <v>18791.998</v>
      </c>
      <c r="K1374" s="5">
        <f t="shared" si="335"/>
        <v>1686.13710183939</v>
      </c>
      <c r="L1374" s="5">
        <f t="shared" ref="L1374:L1392" si="337">K1374/$K$1659</f>
        <v>0.49710606416604647</v>
      </c>
      <c r="M1374" s="5">
        <f t="shared" si="330"/>
        <v>0</v>
      </c>
      <c r="N1374" s="5">
        <f t="shared" si="331"/>
        <v>12184.4</v>
      </c>
    </row>
    <row r="1375" spans="1:14" ht="15.75" x14ac:dyDescent="0.25">
      <c r="A1375" s="38">
        <v>21</v>
      </c>
      <c r="B1375" s="34" t="s">
        <v>983</v>
      </c>
      <c r="C1375" s="18">
        <v>21538000000</v>
      </c>
      <c r="D1375" s="80" t="s">
        <v>2496</v>
      </c>
      <c r="E1375" s="86">
        <v>57.845999999999997</v>
      </c>
      <c r="F1375" s="86">
        <v>2.7309999999999999</v>
      </c>
      <c r="G1375" s="86">
        <f t="shared" si="336"/>
        <v>60.576999999999998</v>
      </c>
      <c r="H1375" s="86">
        <v>108981.693</v>
      </c>
      <c r="I1375" s="86"/>
      <c r="J1375" s="5">
        <f t="shared" si="334"/>
        <v>108981.693</v>
      </c>
      <c r="K1375" s="5">
        <f t="shared" si="335"/>
        <v>1799.0605840500521</v>
      </c>
      <c r="L1375" s="5">
        <f t="shared" si="337"/>
        <v>0.53039810651090069</v>
      </c>
      <c r="M1375" s="5">
        <f t="shared" ref="M1375:M1391" si="338">ROUND(IF(L1375&lt;110%,0,(K1375-$K$1659*1.1)*0.5)*G1375,1)</f>
        <v>0</v>
      </c>
      <c r="N1375" s="5">
        <f t="shared" ref="N1375:N1391" si="339">ROUND(IF(L1375&gt;90%,0,(-K1375+$K$1659*0.9)*0.8)*G1375,1)</f>
        <v>60754.1</v>
      </c>
    </row>
    <row r="1376" spans="1:14" ht="15.75" x14ac:dyDescent="0.25">
      <c r="A1376" s="38">
        <v>21</v>
      </c>
      <c r="B1376" s="34" t="s">
        <v>984</v>
      </c>
      <c r="C1376" s="18">
        <v>21539000000</v>
      </c>
      <c r="D1376" s="80" t="s">
        <v>2497</v>
      </c>
      <c r="E1376" s="86">
        <v>13.909000000000001</v>
      </c>
      <c r="F1376" s="86">
        <v>4.8000000000000001E-2</v>
      </c>
      <c r="G1376" s="86">
        <f t="shared" si="336"/>
        <v>13.957000000000001</v>
      </c>
      <c r="H1376" s="86">
        <v>20673.990000000002</v>
      </c>
      <c r="I1376" s="86"/>
      <c r="J1376" s="5">
        <f t="shared" si="334"/>
        <v>20673.990000000002</v>
      </c>
      <c r="K1376" s="5">
        <f t="shared" si="335"/>
        <v>1481.2631654366985</v>
      </c>
      <c r="L1376" s="5">
        <f t="shared" si="337"/>
        <v>0.43670523669819333</v>
      </c>
      <c r="M1376" s="5">
        <f t="shared" si="338"/>
        <v>0</v>
      </c>
      <c r="N1376" s="5">
        <f t="shared" si="339"/>
        <v>17546.2</v>
      </c>
    </row>
    <row r="1377" spans="1:14" ht="31.5" x14ac:dyDescent="0.25">
      <c r="A1377" s="38">
        <v>21</v>
      </c>
      <c r="B1377" s="34" t="s">
        <v>985</v>
      </c>
      <c r="C1377" s="18">
        <v>21540000000</v>
      </c>
      <c r="D1377" s="80" t="s">
        <v>2498</v>
      </c>
      <c r="E1377" s="86">
        <v>3.4020000000000001</v>
      </c>
      <c r="F1377" s="86">
        <v>7.0000000000000001E-3</v>
      </c>
      <c r="G1377" s="86">
        <f t="shared" si="336"/>
        <v>3.4090000000000003</v>
      </c>
      <c r="H1377" s="86">
        <v>5000.3500000000004</v>
      </c>
      <c r="I1377" s="86"/>
      <c r="J1377" s="5">
        <f t="shared" si="334"/>
        <v>5000.3500000000004</v>
      </c>
      <c r="K1377" s="5">
        <f t="shared" si="335"/>
        <v>1466.8084482252859</v>
      </c>
      <c r="L1377" s="5">
        <f t="shared" si="337"/>
        <v>0.4324437044812936</v>
      </c>
      <c r="M1377" s="5">
        <f t="shared" si="338"/>
        <v>0</v>
      </c>
      <c r="N1377" s="5">
        <f t="shared" si="339"/>
        <v>4325.1000000000004</v>
      </c>
    </row>
    <row r="1378" spans="1:14" ht="15.75" x14ac:dyDescent="0.25">
      <c r="A1378" s="38">
        <v>21</v>
      </c>
      <c r="B1378" s="34" t="s">
        <v>986</v>
      </c>
      <c r="C1378" s="18">
        <v>21541000000</v>
      </c>
      <c r="D1378" s="80" t="s">
        <v>2499</v>
      </c>
      <c r="E1378" s="86">
        <v>43.063000000000002</v>
      </c>
      <c r="F1378" s="86">
        <v>0.23899999999999999</v>
      </c>
      <c r="G1378" s="86">
        <f t="shared" si="336"/>
        <v>43.302</v>
      </c>
      <c r="H1378" s="86">
        <v>134586.44</v>
      </c>
      <c r="I1378" s="86">
        <f>(-2231.781)*0.6</f>
        <v>-1339.0685999999998</v>
      </c>
      <c r="J1378" s="5">
        <f t="shared" si="334"/>
        <v>133247.3714</v>
      </c>
      <c r="K1378" s="5">
        <f t="shared" si="335"/>
        <v>3077.164366541961</v>
      </c>
      <c r="L1378" s="5">
        <f t="shared" si="337"/>
        <v>0.90720799950073483</v>
      </c>
      <c r="M1378" s="5">
        <f t="shared" si="338"/>
        <v>0</v>
      </c>
      <c r="N1378" s="5">
        <f t="shared" si="339"/>
        <v>0</v>
      </c>
    </row>
    <row r="1379" spans="1:14" ht="31.5" x14ac:dyDescent="0.25">
      <c r="A1379" s="38">
        <v>21</v>
      </c>
      <c r="B1379" s="34" t="s">
        <v>985</v>
      </c>
      <c r="C1379" s="18">
        <v>21542000000</v>
      </c>
      <c r="D1379" s="80" t="s">
        <v>2500</v>
      </c>
      <c r="E1379" s="86">
        <v>6.508</v>
      </c>
      <c r="F1379" s="86">
        <v>9.4E-2</v>
      </c>
      <c r="G1379" s="86">
        <f t="shared" si="336"/>
        <v>6.6020000000000003</v>
      </c>
      <c r="H1379" s="86">
        <v>6385.241</v>
      </c>
      <c r="I1379" s="86"/>
      <c r="J1379" s="5">
        <f t="shared" si="334"/>
        <v>6385.241</v>
      </c>
      <c r="K1379" s="5">
        <f t="shared" si="335"/>
        <v>967.16767646167818</v>
      </c>
      <c r="L1379" s="5">
        <f t="shared" si="337"/>
        <v>0.28513987178741373</v>
      </c>
      <c r="M1379" s="5">
        <f t="shared" si="338"/>
        <v>0</v>
      </c>
      <c r="N1379" s="5">
        <f t="shared" si="339"/>
        <v>11015</v>
      </c>
    </row>
    <row r="1380" spans="1:14" ht="31.5" x14ac:dyDescent="0.25">
      <c r="A1380" s="38">
        <v>21</v>
      </c>
      <c r="B1380" s="34" t="s">
        <v>985</v>
      </c>
      <c r="C1380" s="18">
        <v>21543000000</v>
      </c>
      <c r="D1380" s="80" t="s">
        <v>2842</v>
      </c>
      <c r="E1380" s="86">
        <v>14.736000000000001</v>
      </c>
      <c r="F1380" s="86">
        <v>0.03</v>
      </c>
      <c r="G1380" s="86">
        <f t="shared" si="336"/>
        <v>14.766</v>
      </c>
      <c r="H1380" s="86">
        <v>33834.010999999999</v>
      </c>
      <c r="I1380" s="86"/>
      <c r="J1380" s="5">
        <f t="shared" si="334"/>
        <v>33834.010999999999</v>
      </c>
      <c r="K1380" s="5">
        <f t="shared" si="335"/>
        <v>2291.3457266693754</v>
      </c>
      <c r="L1380" s="5">
        <f t="shared" si="337"/>
        <v>0.67553335644280266</v>
      </c>
      <c r="M1380" s="5">
        <f t="shared" si="338"/>
        <v>0</v>
      </c>
      <c r="N1380" s="5">
        <f t="shared" si="339"/>
        <v>8993.9</v>
      </c>
    </row>
    <row r="1381" spans="1:14" ht="31.5" x14ac:dyDescent="0.25">
      <c r="A1381" s="38">
        <v>21</v>
      </c>
      <c r="B1381" s="34" t="s">
        <v>985</v>
      </c>
      <c r="C1381" s="18">
        <v>21544000000</v>
      </c>
      <c r="D1381" s="80" t="s">
        <v>2501</v>
      </c>
      <c r="E1381" s="86">
        <v>12.343</v>
      </c>
      <c r="F1381" s="86">
        <v>5.7000000000000002E-2</v>
      </c>
      <c r="G1381" s="86">
        <f t="shared" si="336"/>
        <v>12.4</v>
      </c>
      <c r="H1381" s="86">
        <v>20134.232</v>
      </c>
      <c r="I1381" s="86"/>
      <c r="J1381" s="5">
        <f t="shared" si="334"/>
        <v>20134.232</v>
      </c>
      <c r="K1381" s="5">
        <f t="shared" si="335"/>
        <v>1623.7283870967742</v>
      </c>
      <c r="L1381" s="5">
        <f t="shared" si="337"/>
        <v>0.47870675931620965</v>
      </c>
      <c r="M1381" s="5">
        <f t="shared" si="338"/>
        <v>0</v>
      </c>
      <c r="N1381" s="5">
        <f t="shared" si="339"/>
        <v>14175.6</v>
      </c>
    </row>
    <row r="1382" spans="1:14" ht="31.5" x14ac:dyDescent="0.25">
      <c r="A1382" s="38">
        <v>21</v>
      </c>
      <c r="B1382" s="34" t="s">
        <v>984</v>
      </c>
      <c r="C1382" s="18">
        <v>21545000000</v>
      </c>
      <c r="D1382" s="80" t="s">
        <v>2502</v>
      </c>
      <c r="E1382" s="86">
        <v>5.9189999999999996</v>
      </c>
      <c r="F1382" s="86">
        <v>1.2E-2</v>
      </c>
      <c r="G1382" s="86">
        <f t="shared" si="336"/>
        <v>5.9309999999999992</v>
      </c>
      <c r="H1382" s="86">
        <v>3059.15</v>
      </c>
      <c r="I1382" s="86"/>
      <c r="J1382" s="5">
        <f t="shared" si="334"/>
        <v>3059.15</v>
      </c>
      <c r="K1382" s="5">
        <f t="shared" si="335"/>
        <v>515.78991738324066</v>
      </c>
      <c r="L1382" s="5">
        <f t="shared" si="337"/>
        <v>0.1520649154135843</v>
      </c>
      <c r="M1382" s="5">
        <f t="shared" si="338"/>
        <v>0</v>
      </c>
      <c r="N1382" s="5">
        <f t="shared" si="339"/>
        <v>12037.2</v>
      </c>
    </row>
    <row r="1383" spans="1:14" ht="31.5" x14ac:dyDescent="0.25">
      <c r="A1383" s="38">
        <v>21</v>
      </c>
      <c r="B1383" s="34" t="s">
        <v>984</v>
      </c>
      <c r="C1383" s="18">
        <v>21546000000</v>
      </c>
      <c r="D1383" s="80" t="s">
        <v>2503</v>
      </c>
      <c r="E1383" s="86">
        <v>5.9470000000000001</v>
      </c>
      <c r="F1383" s="86">
        <v>1.9E-2</v>
      </c>
      <c r="G1383" s="86">
        <f t="shared" si="336"/>
        <v>5.9660000000000002</v>
      </c>
      <c r="H1383" s="86">
        <v>9034.9380000000001</v>
      </c>
      <c r="I1383" s="86"/>
      <c r="J1383" s="5">
        <f t="shared" si="334"/>
        <v>9034.9380000000001</v>
      </c>
      <c r="K1383" s="5">
        <f t="shared" si="335"/>
        <v>1514.4046262152197</v>
      </c>
      <c r="L1383" s="5">
        <f t="shared" si="337"/>
        <v>0.44647598494301388</v>
      </c>
      <c r="M1383" s="5">
        <f t="shared" si="338"/>
        <v>0</v>
      </c>
      <c r="N1383" s="5">
        <f t="shared" si="339"/>
        <v>7342.1</v>
      </c>
    </row>
    <row r="1384" spans="1:14" ht="31.5" x14ac:dyDescent="0.25">
      <c r="A1384" s="38">
        <v>21</v>
      </c>
      <c r="B1384" s="34" t="s">
        <v>985</v>
      </c>
      <c r="C1384" s="18">
        <v>21547000000</v>
      </c>
      <c r="D1384" s="80" t="s">
        <v>2504</v>
      </c>
      <c r="E1384" s="86">
        <v>34.323999999999998</v>
      </c>
      <c r="F1384" s="86">
        <v>0.317</v>
      </c>
      <c r="G1384" s="86">
        <f t="shared" si="336"/>
        <v>34.640999999999998</v>
      </c>
      <c r="H1384" s="86">
        <v>80917.707999999999</v>
      </c>
      <c r="I1384" s="86"/>
      <c r="J1384" s="5">
        <f t="shared" si="334"/>
        <v>80917.707999999999</v>
      </c>
      <c r="K1384" s="5">
        <f t="shared" si="335"/>
        <v>2335.8941139112612</v>
      </c>
      <c r="L1384" s="5">
        <f t="shared" si="337"/>
        <v>0.68866708881996264</v>
      </c>
      <c r="M1384" s="5">
        <f t="shared" si="338"/>
        <v>0</v>
      </c>
      <c r="N1384" s="5">
        <f t="shared" si="339"/>
        <v>19865.099999999999</v>
      </c>
    </row>
    <row r="1385" spans="1:14" ht="15.75" x14ac:dyDescent="0.25">
      <c r="A1385" s="38">
        <v>21</v>
      </c>
      <c r="B1385" s="34" t="s">
        <v>983</v>
      </c>
      <c r="C1385" s="18">
        <v>21548000000</v>
      </c>
      <c r="D1385" s="80" t="s">
        <v>2505</v>
      </c>
      <c r="E1385" s="86">
        <v>38.313000000000002</v>
      </c>
      <c r="F1385" s="86">
        <v>0.34899999999999998</v>
      </c>
      <c r="G1385" s="86">
        <f t="shared" si="336"/>
        <v>38.661999999999999</v>
      </c>
      <c r="H1385" s="86">
        <v>83154.817999999999</v>
      </c>
      <c r="I1385" s="86"/>
      <c r="J1385" s="5">
        <f t="shared" si="334"/>
        <v>83154.817999999999</v>
      </c>
      <c r="K1385" s="5">
        <f t="shared" si="335"/>
        <v>2150.8152190781648</v>
      </c>
      <c r="L1385" s="5">
        <f t="shared" si="337"/>
        <v>0.6341022252211983</v>
      </c>
      <c r="M1385" s="5">
        <f t="shared" si="338"/>
        <v>0</v>
      </c>
      <c r="N1385" s="5">
        <f t="shared" si="339"/>
        <v>27895.4</v>
      </c>
    </row>
    <row r="1386" spans="1:14" ht="31.5" x14ac:dyDescent="0.25">
      <c r="A1386" s="38">
        <v>21</v>
      </c>
      <c r="B1386" s="34" t="s">
        <v>984</v>
      </c>
      <c r="C1386" s="18">
        <v>21549000000</v>
      </c>
      <c r="D1386" s="80" t="s">
        <v>2506</v>
      </c>
      <c r="E1386" s="86">
        <v>3.923</v>
      </c>
      <c r="F1386" s="86">
        <v>2.4E-2</v>
      </c>
      <c r="G1386" s="86">
        <f t="shared" si="336"/>
        <v>3.9470000000000001</v>
      </c>
      <c r="H1386" s="86">
        <v>11597.380999999999</v>
      </c>
      <c r="I1386" s="86"/>
      <c r="J1386" s="5">
        <f t="shared" si="334"/>
        <v>11597.380999999999</v>
      </c>
      <c r="K1386" s="5">
        <f t="shared" si="335"/>
        <v>2938.2774258930831</v>
      </c>
      <c r="L1386" s="5">
        <f t="shared" si="337"/>
        <v>0.86626142383099225</v>
      </c>
      <c r="M1386" s="5">
        <f t="shared" si="338"/>
        <v>0</v>
      </c>
      <c r="N1386" s="5">
        <f t="shared" si="339"/>
        <v>361.3</v>
      </c>
    </row>
    <row r="1387" spans="1:14" ht="15.75" x14ac:dyDescent="0.25">
      <c r="A1387" s="38">
        <v>21</v>
      </c>
      <c r="B1387" s="34" t="s">
        <v>983</v>
      </c>
      <c r="C1387" s="18">
        <v>21550000000</v>
      </c>
      <c r="D1387" s="80" t="s">
        <v>2507</v>
      </c>
      <c r="E1387" s="86">
        <v>34.758000000000003</v>
      </c>
      <c r="F1387" s="86">
        <v>0.49199999999999999</v>
      </c>
      <c r="G1387" s="86">
        <f t="shared" si="336"/>
        <v>35.25</v>
      </c>
      <c r="H1387" s="86">
        <v>63875.502</v>
      </c>
      <c r="I1387" s="86"/>
      <c r="J1387" s="5">
        <f t="shared" si="334"/>
        <v>63875.502</v>
      </c>
      <c r="K1387" s="5">
        <f t="shared" si="335"/>
        <v>1812.0709787234043</v>
      </c>
      <c r="L1387" s="5">
        <f t="shared" si="337"/>
        <v>0.53423382430766919</v>
      </c>
      <c r="M1387" s="5">
        <f t="shared" si="338"/>
        <v>0</v>
      </c>
      <c r="N1387" s="5">
        <f t="shared" si="339"/>
        <v>34986.199999999997</v>
      </c>
    </row>
    <row r="1388" spans="1:14" ht="15.75" x14ac:dyDescent="0.25">
      <c r="A1388" s="38">
        <v>21</v>
      </c>
      <c r="B1388" s="34" t="s">
        <v>983</v>
      </c>
      <c r="C1388" s="18">
        <v>21551000000</v>
      </c>
      <c r="D1388" s="80" t="s">
        <v>2508</v>
      </c>
      <c r="E1388" s="86">
        <v>16.992000000000001</v>
      </c>
      <c r="F1388" s="86">
        <v>0.107</v>
      </c>
      <c r="G1388" s="86">
        <f t="shared" si="336"/>
        <v>17.099</v>
      </c>
      <c r="H1388" s="86">
        <v>31570.575000000001</v>
      </c>
      <c r="I1388" s="86"/>
      <c r="J1388" s="5">
        <f t="shared" si="334"/>
        <v>31570.575000000001</v>
      </c>
      <c r="K1388" s="5">
        <f t="shared" si="335"/>
        <v>1846.3404292648693</v>
      </c>
      <c r="L1388" s="5">
        <f t="shared" si="337"/>
        <v>0.5443371259082429</v>
      </c>
      <c r="M1388" s="5">
        <f t="shared" si="338"/>
        <v>0</v>
      </c>
      <c r="N1388" s="5">
        <f t="shared" si="339"/>
        <v>16502.2</v>
      </c>
    </row>
    <row r="1389" spans="1:14" ht="15.75" x14ac:dyDescent="0.25">
      <c r="A1389" s="38">
        <v>21</v>
      </c>
      <c r="B1389" s="34" t="s">
        <v>984</v>
      </c>
      <c r="C1389" s="18">
        <v>21552000000</v>
      </c>
      <c r="D1389" s="80" t="s">
        <v>2509</v>
      </c>
      <c r="E1389" s="86">
        <v>9.7880000000000003</v>
      </c>
      <c r="F1389" s="86">
        <v>3.6999999999999998E-2</v>
      </c>
      <c r="G1389" s="86">
        <f t="shared" si="336"/>
        <v>9.8250000000000011</v>
      </c>
      <c r="H1389" s="86">
        <v>10661.217000000001</v>
      </c>
      <c r="I1389" s="86"/>
      <c r="J1389" s="5">
        <f t="shared" si="334"/>
        <v>10661.217000000001</v>
      </c>
      <c r="K1389" s="5">
        <f t="shared" si="335"/>
        <v>1085.1111450381679</v>
      </c>
      <c r="L1389" s="5">
        <f t="shared" si="337"/>
        <v>0.31991190390401403</v>
      </c>
      <c r="M1389" s="5">
        <f t="shared" si="338"/>
        <v>0</v>
      </c>
      <c r="N1389" s="5">
        <f t="shared" si="339"/>
        <v>15465.4</v>
      </c>
    </row>
    <row r="1390" spans="1:14" ht="15.75" x14ac:dyDescent="0.25">
      <c r="A1390" s="38">
        <v>21</v>
      </c>
      <c r="B1390" s="34" t="s">
        <v>986</v>
      </c>
      <c r="C1390" s="18">
        <v>21553000000</v>
      </c>
      <c r="D1390" s="80" t="s">
        <v>2510</v>
      </c>
      <c r="E1390" s="86">
        <v>322.55700000000002</v>
      </c>
      <c r="F1390" s="86">
        <v>7.2149999999999999</v>
      </c>
      <c r="G1390" s="86">
        <f t="shared" si="336"/>
        <v>329.77199999999999</v>
      </c>
      <c r="H1390" s="86">
        <v>1201863.5430000001</v>
      </c>
      <c r="I1390" s="86">
        <f>(2361.916)*0.6</f>
        <v>1417.1496</v>
      </c>
      <c r="J1390" s="5">
        <f t="shared" si="334"/>
        <v>1203280.6926</v>
      </c>
      <c r="K1390" s="5">
        <f t="shared" si="335"/>
        <v>3648.8261362395838</v>
      </c>
      <c r="L1390" s="5">
        <f t="shared" si="337"/>
        <v>1.0757450253799334</v>
      </c>
      <c r="M1390" s="5">
        <f t="shared" si="338"/>
        <v>0</v>
      </c>
      <c r="N1390" s="5">
        <f t="shared" si="339"/>
        <v>0</v>
      </c>
    </row>
    <row r="1391" spans="1:14" ht="31.5" x14ac:dyDescent="0.25">
      <c r="A1391" s="38">
        <v>21</v>
      </c>
      <c r="B1391" s="34" t="s">
        <v>984</v>
      </c>
      <c r="C1391" s="18">
        <v>21554000000</v>
      </c>
      <c r="D1391" s="80" t="s">
        <v>2511</v>
      </c>
      <c r="E1391" s="86">
        <v>14.943</v>
      </c>
      <c r="F1391" s="86">
        <v>7.0000000000000007E-2</v>
      </c>
      <c r="G1391" s="86">
        <f t="shared" si="336"/>
        <v>15.013</v>
      </c>
      <c r="H1391" s="86">
        <v>39283.904999999999</v>
      </c>
      <c r="I1391" s="86"/>
      <c r="J1391" s="5">
        <f t="shared" si="334"/>
        <v>39283.904999999999</v>
      </c>
      <c r="K1391" s="5">
        <f t="shared" si="335"/>
        <v>2616.6592286684872</v>
      </c>
      <c r="L1391" s="5">
        <f t="shared" si="337"/>
        <v>0.77144211405357943</v>
      </c>
      <c r="M1391" s="5">
        <f t="shared" si="338"/>
        <v>0</v>
      </c>
      <c r="N1391" s="5">
        <f t="shared" si="339"/>
        <v>5237.2</v>
      </c>
    </row>
    <row r="1392" spans="1:14" ht="15.75" x14ac:dyDescent="0.25">
      <c r="A1392" s="36">
        <v>22</v>
      </c>
      <c r="B1392" s="17" t="s">
        <v>7</v>
      </c>
      <c r="C1392" s="17" t="s">
        <v>817</v>
      </c>
      <c r="D1392" s="11" t="s">
        <v>23</v>
      </c>
      <c r="E1392" s="11">
        <f t="shared" ref="E1392:J1392" si="340">E1393+E1394+E1398</f>
        <v>1243.7869999999996</v>
      </c>
      <c r="F1392" s="11">
        <f t="shared" si="340"/>
        <v>6.7609999999999992</v>
      </c>
      <c r="G1392" s="11">
        <f t="shared" si="340"/>
        <v>1248.807</v>
      </c>
      <c r="H1392" s="11">
        <f t="shared" si="340"/>
        <v>3931606.418000001</v>
      </c>
      <c r="I1392" s="11">
        <f t="shared" si="340"/>
        <v>-1573.5995999999996</v>
      </c>
      <c r="J1392" s="11">
        <f t="shared" si="340"/>
        <v>3930032.8184000012</v>
      </c>
      <c r="K1392" s="11">
        <f t="shared" si="335"/>
        <v>3147.0297799419777</v>
      </c>
      <c r="L1392" s="11">
        <f t="shared" si="337"/>
        <v>0.92780568437388589</v>
      </c>
      <c r="M1392" s="11">
        <f>M1393+M1394+M1398</f>
        <v>178726.09999999998</v>
      </c>
      <c r="N1392" s="11">
        <f>N1393+N1394+N1398</f>
        <v>434664.80000000005</v>
      </c>
    </row>
    <row r="1393" spans="1:14" ht="15.75" x14ac:dyDescent="0.25">
      <c r="A1393" s="38">
        <v>22</v>
      </c>
      <c r="B1393" s="34" t="s">
        <v>6</v>
      </c>
      <c r="C1393" s="18" t="s">
        <v>188</v>
      </c>
      <c r="D1393" s="32" t="s">
        <v>861</v>
      </c>
      <c r="E1393" s="5">
        <v>0</v>
      </c>
      <c r="F1393" s="5">
        <v>1.7410000000000001</v>
      </c>
      <c r="G1393" s="5"/>
      <c r="H1393" s="49"/>
      <c r="I1393" s="49"/>
      <c r="J1393" s="5"/>
      <c r="K1393" s="5"/>
      <c r="L1393" s="5"/>
      <c r="M1393" s="5"/>
      <c r="N1393" s="5"/>
    </row>
    <row r="1394" spans="1:14" ht="15.75" x14ac:dyDescent="0.25">
      <c r="A1394" s="37">
        <v>22</v>
      </c>
      <c r="B1394" s="19" t="s">
        <v>5</v>
      </c>
      <c r="C1394" s="19" t="s">
        <v>818</v>
      </c>
      <c r="D1394" s="7" t="s">
        <v>2815</v>
      </c>
      <c r="E1394" s="7">
        <f t="shared" ref="E1394:J1394" si="341">SUM(E1395:E1397)</f>
        <v>0</v>
      </c>
      <c r="F1394" s="7">
        <f t="shared" si="341"/>
        <v>0</v>
      </c>
      <c r="G1394" s="7">
        <f t="shared" si="341"/>
        <v>0</v>
      </c>
      <c r="H1394" s="7">
        <f t="shared" si="341"/>
        <v>0</v>
      </c>
      <c r="I1394" s="7">
        <f t="shared" si="341"/>
        <v>0</v>
      </c>
      <c r="J1394" s="7">
        <f t="shared" si="341"/>
        <v>0</v>
      </c>
      <c r="K1394" s="7" t="e">
        <f>J1394/G1394</f>
        <v>#DIV/0!</v>
      </c>
      <c r="L1394" s="7" t="e">
        <f>K1394/$K$1659</f>
        <v>#DIV/0!</v>
      </c>
      <c r="M1394" s="7">
        <f>SUM(M1395:M1397)</f>
        <v>0</v>
      </c>
      <c r="N1394" s="7">
        <f>SUM(N1395:N1397)</f>
        <v>0</v>
      </c>
    </row>
    <row r="1395" spans="1:14" ht="15.75" x14ac:dyDescent="0.25">
      <c r="A1395" s="38">
        <v>22</v>
      </c>
      <c r="B1395" s="34" t="s">
        <v>4</v>
      </c>
      <c r="C1395" s="18" t="s">
        <v>189</v>
      </c>
      <c r="D1395" s="32" t="s">
        <v>960</v>
      </c>
      <c r="E1395" s="5"/>
      <c r="F1395" s="5"/>
      <c r="G1395" s="5"/>
      <c r="H1395" s="49"/>
      <c r="I1395" s="49"/>
      <c r="J1395" s="5"/>
      <c r="K1395" s="5"/>
      <c r="L1395" s="5"/>
      <c r="M1395" s="5"/>
      <c r="N1395" s="5"/>
    </row>
    <row r="1396" spans="1:14" ht="15.75" x14ac:dyDescent="0.25">
      <c r="A1396" s="38">
        <v>22</v>
      </c>
      <c r="B1396" s="34" t="s">
        <v>4</v>
      </c>
      <c r="C1396" s="18" t="s">
        <v>190</v>
      </c>
      <c r="D1396" s="32" t="s">
        <v>961</v>
      </c>
      <c r="E1396" s="5"/>
      <c r="F1396" s="5"/>
      <c r="G1396" s="5"/>
      <c r="H1396" s="49"/>
      <c r="I1396" s="49"/>
      <c r="J1396" s="5"/>
      <c r="K1396" s="5"/>
      <c r="L1396" s="5"/>
      <c r="M1396" s="5"/>
      <c r="N1396" s="5"/>
    </row>
    <row r="1397" spans="1:14" ht="15.75" x14ac:dyDescent="0.25">
      <c r="A1397" s="38">
        <v>22</v>
      </c>
      <c r="B1397" s="34" t="s">
        <v>4</v>
      </c>
      <c r="C1397" s="18" t="s">
        <v>191</v>
      </c>
      <c r="D1397" s="32" t="s">
        <v>962</v>
      </c>
      <c r="E1397" s="5"/>
      <c r="F1397" s="5"/>
      <c r="G1397" s="5"/>
      <c r="H1397" s="49"/>
      <c r="I1397" s="49"/>
      <c r="J1397" s="5"/>
      <c r="K1397" s="5"/>
      <c r="L1397" s="5"/>
      <c r="M1397" s="5"/>
      <c r="N1397" s="5"/>
    </row>
    <row r="1398" spans="1:14" ht="31.5" x14ac:dyDescent="0.25">
      <c r="A1398" s="37">
        <v>22</v>
      </c>
      <c r="B1398" s="19" t="s">
        <v>28</v>
      </c>
      <c r="C1398" s="19" t="s">
        <v>819</v>
      </c>
      <c r="D1398" s="20" t="s">
        <v>2788</v>
      </c>
      <c r="E1398" s="7">
        <f t="shared" ref="E1398:J1398" si="342">SUM(E1399:E1458)</f>
        <v>1243.7869999999996</v>
      </c>
      <c r="F1398" s="7">
        <f t="shared" si="342"/>
        <v>5.0199999999999996</v>
      </c>
      <c r="G1398" s="7">
        <f t="shared" si="342"/>
        <v>1248.807</v>
      </c>
      <c r="H1398" s="7">
        <f t="shared" si="342"/>
        <v>3931606.418000001</v>
      </c>
      <c r="I1398" s="7">
        <f t="shared" si="342"/>
        <v>-1573.5995999999996</v>
      </c>
      <c r="J1398" s="7">
        <f t="shared" si="342"/>
        <v>3930032.8184000012</v>
      </c>
      <c r="K1398" s="7">
        <f t="shared" ref="K1398:K1407" si="343">J1398/G1398</f>
        <v>3147.0297799419777</v>
      </c>
      <c r="L1398" s="7">
        <f t="shared" ref="L1398:L1429" si="344">K1398/$K$1659</f>
        <v>0.92780568437388589</v>
      </c>
      <c r="M1398" s="7">
        <f>SUM(M1399:M1458)</f>
        <v>178726.09999999998</v>
      </c>
      <c r="N1398" s="7">
        <f>SUM(N1399:N1458)</f>
        <v>434664.80000000005</v>
      </c>
    </row>
    <row r="1399" spans="1:14" ht="31.5" x14ac:dyDescent="0.25">
      <c r="A1399" s="38">
        <v>22</v>
      </c>
      <c r="B1399" s="34" t="s">
        <v>984</v>
      </c>
      <c r="C1399" s="18" t="s">
        <v>192</v>
      </c>
      <c r="D1399" s="32" t="s">
        <v>2512</v>
      </c>
      <c r="E1399" s="5">
        <v>8.2970000000000006</v>
      </c>
      <c r="F1399" s="5">
        <v>0.03</v>
      </c>
      <c r="G1399" s="5">
        <f t="shared" ref="G1399:G1444" si="345">F1399+E1399</f>
        <v>8.327</v>
      </c>
      <c r="H1399" s="49">
        <v>13060.778</v>
      </c>
      <c r="I1399" s="49"/>
      <c r="J1399" s="5">
        <f t="shared" ref="J1399:J1407" si="346">H1399+I1399</f>
        <v>13060.778</v>
      </c>
      <c r="K1399" s="5">
        <f t="shared" si="343"/>
        <v>1568.4854089107723</v>
      </c>
      <c r="L1399" s="5">
        <f t="shared" si="344"/>
        <v>0.4624200531943311</v>
      </c>
      <c r="M1399" s="5">
        <f t="shared" ref="M1399:M1430" si="347">ROUND(IF(L1399&lt;110%,0,(K1399-$K$1659*1.1)*0.5)*G1399,1)</f>
        <v>0</v>
      </c>
      <c r="N1399" s="5">
        <f t="shared" ref="N1399:N1430" si="348">ROUND(IF(L1399&gt;90%,0,(-K1399+$K$1659*0.9)*0.8)*G1399,1)</f>
        <v>9887.2999999999993</v>
      </c>
    </row>
    <row r="1400" spans="1:14" ht="31.5" x14ac:dyDescent="0.25">
      <c r="A1400" s="38">
        <v>22</v>
      </c>
      <c r="B1400" s="34" t="s">
        <v>985</v>
      </c>
      <c r="C1400" s="18" t="s">
        <v>193</v>
      </c>
      <c r="D1400" s="32" t="s">
        <v>2513</v>
      </c>
      <c r="E1400" s="5">
        <v>7.976</v>
      </c>
      <c r="F1400" s="5">
        <v>2.3E-2</v>
      </c>
      <c r="G1400" s="5">
        <f t="shared" si="345"/>
        <v>7.9989999999999997</v>
      </c>
      <c r="H1400" s="49">
        <v>16921.022000000001</v>
      </c>
      <c r="I1400" s="49"/>
      <c r="J1400" s="5">
        <f t="shared" si="346"/>
        <v>16921.022000000001</v>
      </c>
      <c r="K1400" s="5">
        <f t="shared" si="343"/>
        <v>2115.3921740217529</v>
      </c>
      <c r="L1400" s="5">
        <f t="shared" si="344"/>
        <v>0.62365882148519136</v>
      </c>
      <c r="M1400" s="5">
        <f t="shared" si="347"/>
        <v>0</v>
      </c>
      <c r="N1400" s="5">
        <f t="shared" si="348"/>
        <v>5998.1</v>
      </c>
    </row>
    <row r="1401" spans="1:14" ht="15.75" x14ac:dyDescent="0.25">
      <c r="A1401" s="38">
        <v>22</v>
      </c>
      <c r="B1401" s="34" t="s">
        <v>983</v>
      </c>
      <c r="C1401" s="18" t="s">
        <v>194</v>
      </c>
      <c r="D1401" s="32" t="s">
        <v>2514</v>
      </c>
      <c r="E1401" s="5">
        <v>34.225999999999999</v>
      </c>
      <c r="F1401" s="5">
        <v>0.126</v>
      </c>
      <c r="G1401" s="5">
        <f t="shared" si="345"/>
        <v>34.351999999999997</v>
      </c>
      <c r="H1401" s="49">
        <v>109085.31300000001</v>
      </c>
      <c r="I1401" s="49"/>
      <c r="J1401" s="5">
        <f t="shared" si="346"/>
        <v>109085.31300000001</v>
      </c>
      <c r="K1401" s="5">
        <f t="shared" si="343"/>
        <v>3175.5156322775974</v>
      </c>
      <c r="L1401" s="5">
        <f t="shared" si="344"/>
        <v>0.93620386855684923</v>
      </c>
      <c r="M1401" s="5">
        <f t="shared" si="347"/>
        <v>0</v>
      </c>
      <c r="N1401" s="5">
        <f t="shared" si="348"/>
        <v>0</v>
      </c>
    </row>
    <row r="1402" spans="1:14" ht="31.5" x14ac:dyDescent="0.25">
      <c r="A1402" s="38">
        <v>22</v>
      </c>
      <c r="B1402" s="34" t="s">
        <v>984</v>
      </c>
      <c r="C1402" s="18" t="s">
        <v>195</v>
      </c>
      <c r="D1402" s="32" t="s">
        <v>2515</v>
      </c>
      <c r="E1402" s="5">
        <v>6.0469999999999997</v>
      </c>
      <c r="F1402" s="5">
        <v>1.0999999999999999E-2</v>
      </c>
      <c r="G1402" s="5">
        <f t="shared" si="345"/>
        <v>6.0579999999999998</v>
      </c>
      <c r="H1402" s="49">
        <v>7424.6549999999997</v>
      </c>
      <c r="I1402" s="49"/>
      <c r="J1402" s="5">
        <f t="shared" si="346"/>
        <v>7424.6549999999997</v>
      </c>
      <c r="K1402" s="5">
        <f t="shared" si="343"/>
        <v>1225.5950808847804</v>
      </c>
      <c r="L1402" s="5">
        <f t="shared" si="344"/>
        <v>0.36132930486807685</v>
      </c>
      <c r="M1402" s="5">
        <f t="shared" si="347"/>
        <v>0</v>
      </c>
      <c r="N1402" s="5">
        <f t="shared" si="348"/>
        <v>8855</v>
      </c>
    </row>
    <row r="1403" spans="1:14" ht="31.5" x14ac:dyDescent="0.25">
      <c r="A1403" s="38">
        <v>22</v>
      </c>
      <c r="B1403" s="34" t="s">
        <v>984</v>
      </c>
      <c r="C1403" s="18" t="s">
        <v>196</v>
      </c>
      <c r="D1403" s="32" t="s">
        <v>2516</v>
      </c>
      <c r="E1403" s="5">
        <v>7.5540000000000003</v>
      </c>
      <c r="F1403" s="5">
        <v>5.0000000000000001E-3</v>
      </c>
      <c r="G1403" s="5">
        <f t="shared" si="345"/>
        <v>7.5590000000000002</v>
      </c>
      <c r="H1403" s="49">
        <v>16158.351000000001</v>
      </c>
      <c r="I1403" s="49"/>
      <c r="J1403" s="5">
        <f t="shared" si="346"/>
        <v>16158.351000000001</v>
      </c>
      <c r="K1403" s="5">
        <f t="shared" si="343"/>
        <v>2137.6307712660405</v>
      </c>
      <c r="L1403" s="5">
        <f t="shared" si="344"/>
        <v>0.63021519316850338</v>
      </c>
      <c r="M1403" s="5">
        <f t="shared" si="347"/>
        <v>0</v>
      </c>
      <c r="N1403" s="5">
        <f t="shared" si="348"/>
        <v>5533.7</v>
      </c>
    </row>
    <row r="1404" spans="1:14" ht="31.5" x14ac:dyDescent="0.25">
      <c r="A1404" s="38">
        <v>22</v>
      </c>
      <c r="B1404" s="34" t="s">
        <v>984</v>
      </c>
      <c r="C1404" s="18" t="s">
        <v>197</v>
      </c>
      <c r="D1404" s="32" t="s">
        <v>2517</v>
      </c>
      <c r="E1404" s="5">
        <v>12.664</v>
      </c>
      <c r="F1404" s="5">
        <v>1.4999999999999999E-2</v>
      </c>
      <c r="G1404" s="5">
        <f t="shared" si="345"/>
        <v>12.679</v>
      </c>
      <c r="H1404" s="49">
        <v>56524.755999999994</v>
      </c>
      <c r="I1404" s="49"/>
      <c r="J1404" s="5">
        <f t="shared" si="346"/>
        <v>56524.755999999994</v>
      </c>
      <c r="K1404" s="5">
        <f t="shared" si="343"/>
        <v>4458.1399163971919</v>
      </c>
      <c r="L1404" s="5">
        <f t="shared" si="344"/>
        <v>1.3143464934874867</v>
      </c>
      <c r="M1404" s="5">
        <f t="shared" si="347"/>
        <v>4609.1000000000004</v>
      </c>
      <c r="N1404" s="5">
        <f t="shared" si="348"/>
        <v>0</v>
      </c>
    </row>
    <row r="1405" spans="1:14" ht="15.75" x14ac:dyDescent="0.25">
      <c r="A1405" s="38">
        <v>22</v>
      </c>
      <c r="B1405" s="34" t="s">
        <v>983</v>
      </c>
      <c r="C1405" s="18" t="s">
        <v>198</v>
      </c>
      <c r="D1405" s="32" t="s">
        <v>2820</v>
      </c>
      <c r="E1405" s="5">
        <v>35.923999999999999</v>
      </c>
      <c r="F1405" s="5">
        <v>0.12</v>
      </c>
      <c r="G1405" s="5">
        <f t="shared" si="345"/>
        <v>36.043999999999997</v>
      </c>
      <c r="H1405" s="49">
        <v>75313.645000000004</v>
      </c>
      <c r="I1405" s="49"/>
      <c r="J1405" s="5">
        <f t="shared" si="346"/>
        <v>75313.645000000004</v>
      </c>
      <c r="K1405" s="5">
        <f t="shared" si="343"/>
        <v>2089.491871046499</v>
      </c>
      <c r="L1405" s="5">
        <f t="shared" si="344"/>
        <v>0.61602290762107481</v>
      </c>
      <c r="M1405" s="5">
        <f t="shared" si="347"/>
        <v>0</v>
      </c>
      <c r="N1405" s="5">
        <f t="shared" si="348"/>
        <v>27774.7</v>
      </c>
    </row>
    <row r="1406" spans="1:14" ht="31.5" x14ac:dyDescent="0.25">
      <c r="A1406" s="38">
        <v>22</v>
      </c>
      <c r="B1406" s="34" t="s">
        <v>985</v>
      </c>
      <c r="C1406" s="18" t="s">
        <v>199</v>
      </c>
      <c r="D1406" s="32" t="s">
        <v>2518</v>
      </c>
      <c r="E1406" s="5">
        <v>9.9629999999999992</v>
      </c>
      <c r="F1406" s="5">
        <v>4.2000000000000003E-2</v>
      </c>
      <c r="G1406" s="5">
        <f t="shared" si="345"/>
        <v>10.004999999999999</v>
      </c>
      <c r="H1406" s="49">
        <v>19907.964</v>
      </c>
      <c r="I1406" s="49"/>
      <c r="J1406" s="5">
        <f t="shared" si="346"/>
        <v>19907.964</v>
      </c>
      <c r="K1406" s="5">
        <f t="shared" si="343"/>
        <v>1989.8014992503749</v>
      </c>
      <c r="L1406" s="5">
        <f t="shared" si="344"/>
        <v>0.5866322440120717</v>
      </c>
      <c r="M1406" s="5">
        <f t="shared" si="347"/>
        <v>0</v>
      </c>
      <c r="N1406" s="5">
        <f t="shared" si="348"/>
        <v>8507.6</v>
      </c>
    </row>
    <row r="1407" spans="1:14" ht="31.5" x14ac:dyDescent="0.25">
      <c r="A1407" s="38">
        <v>22</v>
      </c>
      <c r="B1407" s="34" t="s">
        <v>984</v>
      </c>
      <c r="C1407" s="18" t="s">
        <v>200</v>
      </c>
      <c r="D1407" s="32" t="s">
        <v>2519</v>
      </c>
      <c r="E1407" s="5">
        <v>4.2210000000000001</v>
      </c>
      <c r="F1407" s="5">
        <v>2E-3</v>
      </c>
      <c r="G1407" s="5">
        <f t="shared" si="345"/>
        <v>4.2229999999999999</v>
      </c>
      <c r="H1407" s="49">
        <v>3735.8470000000002</v>
      </c>
      <c r="I1407" s="49"/>
      <c r="J1407" s="5">
        <f t="shared" si="346"/>
        <v>3735.8470000000002</v>
      </c>
      <c r="K1407" s="5">
        <f t="shared" si="343"/>
        <v>884.6429078853896</v>
      </c>
      <c r="L1407" s="5">
        <f t="shared" si="344"/>
        <v>0.2608099623996063</v>
      </c>
      <c r="M1407" s="5">
        <f t="shared" si="347"/>
        <v>0</v>
      </c>
      <c r="N1407" s="5">
        <f t="shared" si="348"/>
        <v>7324.6</v>
      </c>
    </row>
    <row r="1408" spans="1:14" ht="31.5" x14ac:dyDescent="0.25">
      <c r="A1408" s="38">
        <v>22</v>
      </c>
      <c r="B1408" s="34" t="s">
        <v>985</v>
      </c>
      <c r="C1408" s="18" t="s">
        <v>201</v>
      </c>
      <c r="D1408" s="32" t="s">
        <v>2520</v>
      </c>
      <c r="E1408" s="5">
        <v>18.693999999999999</v>
      </c>
      <c r="F1408" s="5">
        <v>8.5000000000000006E-2</v>
      </c>
      <c r="G1408" s="5">
        <f t="shared" si="345"/>
        <v>18.779</v>
      </c>
      <c r="H1408" s="49">
        <v>49788.983</v>
      </c>
      <c r="I1408" s="49"/>
      <c r="J1408" s="5">
        <f t="shared" ref="J1408:J1427" si="349">H1408+I1408</f>
        <v>49788.983</v>
      </c>
      <c r="K1408" s="5">
        <f t="shared" ref="K1408:K1427" si="350">J1408/G1408</f>
        <v>2651.3117311890942</v>
      </c>
      <c r="L1408" s="5">
        <f t="shared" si="344"/>
        <v>0.78165834683959157</v>
      </c>
      <c r="M1408" s="5">
        <f t="shared" si="347"/>
        <v>0</v>
      </c>
      <c r="N1408" s="5">
        <f t="shared" si="348"/>
        <v>6030.4</v>
      </c>
    </row>
    <row r="1409" spans="1:14" ht="31.5" x14ac:dyDescent="0.25">
      <c r="A1409" s="38">
        <v>22</v>
      </c>
      <c r="B1409" s="34" t="s">
        <v>984</v>
      </c>
      <c r="C1409" s="18" t="s">
        <v>202</v>
      </c>
      <c r="D1409" s="32" t="s">
        <v>2521</v>
      </c>
      <c r="E1409" s="5">
        <v>7.6360000000000001</v>
      </c>
      <c r="F1409" s="5">
        <v>1.4999999999999999E-2</v>
      </c>
      <c r="G1409" s="5">
        <f t="shared" si="345"/>
        <v>7.6509999999999998</v>
      </c>
      <c r="H1409" s="49">
        <v>16578.109</v>
      </c>
      <c r="I1409" s="49"/>
      <c r="J1409" s="5">
        <f t="shared" si="349"/>
        <v>16578.109</v>
      </c>
      <c r="K1409" s="5">
        <f t="shared" si="350"/>
        <v>2166.7898313945889</v>
      </c>
      <c r="L1409" s="5">
        <f t="shared" si="344"/>
        <v>0.63881185212314662</v>
      </c>
      <c r="M1409" s="5">
        <f t="shared" si="347"/>
        <v>0</v>
      </c>
      <c r="N1409" s="5">
        <f t="shared" si="348"/>
        <v>5422.6</v>
      </c>
    </row>
    <row r="1410" spans="1:14" ht="15.75" x14ac:dyDescent="0.25">
      <c r="A1410" s="38">
        <v>22</v>
      </c>
      <c r="B1410" s="34" t="s">
        <v>984</v>
      </c>
      <c r="C1410" s="18" t="s">
        <v>203</v>
      </c>
      <c r="D1410" s="32" t="s">
        <v>2522</v>
      </c>
      <c r="E1410" s="5">
        <v>6.6660000000000004</v>
      </c>
      <c r="F1410" s="5">
        <v>7.0000000000000001E-3</v>
      </c>
      <c r="G1410" s="5">
        <f t="shared" si="345"/>
        <v>6.673</v>
      </c>
      <c r="H1410" s="49">
        <v>9550.4740000000002</v>
      </c>
      <c r="I1410" s="49"/>
      <c r="J1410" s="5">
        <f t="shared" si="349"/>
        <v>9550.4740000000002</v>
      </c>
      <c r="K1410" s="5">
        <f t="shared" si="350"/>
        <v>1431.2114491233328</v>
      </c>
      <c r="L1410" s="5">
        <f t="shared" si="344"/>
        <v>0.42194901570397508</v>
      </c>
      <c r="M1410" s="5">
        <f t="shared" si="347"/>
        <v>0</v>
      </c>
      <c r="N1410" s="5">
        <f t="shared" si="348"/>
        <v>8656.2000000000007</v>
      </c>
    </row>
    <row r="1411" spans="1:14" ht="31.5" x14ac:dyDescent="0.25">
      <c r="A1411" s="38">
        <v>22</v>
      </c>
      <c r="B1411" s="34" t="s">
        <v>985</v>
      </c>
      <c r="C1411" s="18" t="s">
        <v>204</v>
      </c>
      <c r="D1411" s="32" t="s">
        <v>2523</v>
      </c>
      <c r="E1411" s="5">
        <v>7.4379999999999997</v>
      </c>
      <c r="F1411" s="5">
        <v>1.7000000000000001E-2</v>
      </c>
      <c r="G1411" s="5">
        <f t="shared" si="345"/>
        <v>7.4550000000000001</v>
      </c>
      <c r="H1411" s="49">
        <v>26858.063999999998</v>
      </c>
      <c r="I1411" s="49"/>
      <c r="J1411" s="5">
        <f t="shared" si="349"/>
        <v>26858.063999999998</v>
      </c>
      <c r="K1411" s="5">
        <f t="shared" si="350"/>
        <v>3602.691348088531</v>
      </c>
      <c r="L1411" s="5">
        <f t="shared" si="344"/>
        <v>1.0621435911111032</v>
      </c>
      <c r="M1411" s="5">
        <f t="shared" si="347"/>
        <v>0</v>
      </c>
      <c r="N1411" s="5">
        <f t="shared" si="348"/>
        <v>0</v>
      </c>
    </row>
    <row r="1412" spans="1:14" ht="31.5" x14ac:dyDescent="0.25">
      <c r="A1412" s="38">
        <v>22</v>
      </c>
      <c r="B1412" s="34" t="s">
        <v>985</v>
      </c>
      <c r="C1412" s="18" t="s">
        <v>205</v>
      </c>
      <c r="D1412" s="32" t="s">
        <v>2524</v>
      </c>
      <c r="E1412" s="5">
        <v>5.9450000000000003</v>
      </c>
      <c r="F1412" s="5">
        <v>3.2000000000000001E-2</v>
      </c>
      <c r="G1412" s="5">
        <f t="shared" si="345"/>
        <v>5.9770000000000003</v>
      </c>
      <c r="H1412" s="49">
        <v>15311.003000000001</v>
      </c>
      <c r="I1412" s="49"/>
      <c r="J1412" s="5">
        <f t="shared" si="349"/>
        <v>15311.003000000001</v>
      </c>
      <c r="K1412" s="5">
        <f t="shared" si="350"/>
        <v>2561.6535051028945</v>
      </c>
      <c r="L1412" s="5">
        <f t="shared" si="344"/>
        <v>0.75522535521560097</v>
      </c>
      <c r="M1412" s="5">
        <f t="shared" si="347"/>
        <v>0</v>
      </c>
      <c r="N1412" s="5">
        <f t="shared" si="348"/>
        <v>2348.1</v>
      </c>
    </row>
    <row r="1413" spans="1:14" ht="31.5" x14ac:dyDescent="0.25">
      <c r="A1413" s="38">
        <v>22</v>
      </c>
      <c r="B1413" s="34" t="s">
        <v>985</v>
      </c>
      <c r="C1413" s="18" t="s">
        <v>262</v>
      </c>
      <c r="D1413" s="32" t="s">
        <v>2525</v>
      </c>
      <c r="E1413" s="5">
        <v>26.541</v>
      </c>
      <c r="F1413" s="5">
        <v>2E-3</v>
      </c>
      <c r="G1413" s="5">
        <f t="shared" si="345"/>
        <v>26.542999999999999</v>
      </c>
      <c r="H1413" s="49">
        <v>56158.86</v>
      </c>
      <c r="I1413" s="49"/>
      <c r="J1413" s="5">
        <f t="shared" si="349"/>
        <v>56158.86</v>
      </c>
      <c r="K1413" s="5">
        <f t="shared" si="350"/>
        <v>2115.7691293373018</v>
      </c>
      <c r="L1413" s="5">
        <f t="shared" si="344"/>
        <v>0.62376995525543733</v>
      </c>
      <c r="M1413" s="5">
        <f t="shared" si="347"/>
        <v>0</v>
      </c>
      <c r="N1413" s="5">
        <f t="shared" si="348"/>
        <v>19895.5</v>
      </c>
    </row>
    <row r="1414" spans="1:14" ht="15.75" x14ac:dyDescent="0.25">
      <c r="A1414" s="38">
        <v>22</v>
      </c>
      <c r="B1414" s="34" t="s">
        <v>983</v>
      </c>
      <c r="C1414" s="18" t="s">
        <v>263</v>
      </c>
      <c r="D1414" s="32" t="s">
        <v>2526</v>
      </c>
      <c r="E1414" s="5">
        <v>32.658000000000001</v>
      </c>
      <c r="F1414" s="5">
        <v>0.17699999999999999</v>
      </c>
      <c r="G1414" s="5">
        <f t="shared" si="345"/>
        <v>32.835000000000001</v>
      </c>
      <c r="H1414" s="49">
        <v>70488.881000000008</v>
      </c>
      <c r="I1414" s="49"/>
      <c r="J1414" s="5">
        <f t="shared" si="349"/>
        <v>70488.881000000008</v>
      </c>
      <c r="K1414" s="5">
        <f t="shared" si="350"/>
        <v>2146.7604994670323</v>
      </c>
      <c r="L1414" s="5">
        <f t="shared" si="344"/>
        <v>0.63290681489247225</v>
      </c>
      <c r="M1414" s="5">
        <f t="shared" si="347"/>
        <v>0</v>
      </c>
      <c r="N1414" s="5">
        <f t="shared" si="348"/>
        <v>23797.599999999999</v>
      </c>
    </row>
    <row r="1415" spans="1:14" ht="31.5" x14ac:dyDescent="0.25">
      <c r="A1415" s="38">
        <v>22</v>
      </c>
      <c r="B1415" s="34" t="s">
        <v>985</v>
      </c>
      <c r="C1415" s="18" t="s">
        <v>264</v>
      </c>
      <c r="D1415" s="32" t="s">
        <v>2527</v>
      </c>
      <c r="E1415" s="5">
        <v>7.9550000000000001</v>
      </c>
      <c r="F1415" s="5">
        <v>2.8000000000000001E-2</v>
      </c>
      <c r="G1415" s="5">
        <f t="shared" si="345"/>
        <v>7.9829999999999997</v>
      </c>
      <c r="H1415" s="49">
        <v>20604.28</v>
      </c>
      <c r="I1415" s="49"/>
      <c r="J1415" s="5">
        <f t="shared" si="349"/>
        <v>20604.28</v>
      </c>
      <c r="K1415" s="5">
        <f t="shared" si="350"/>
        <v>2581.0196667919327</v>
      </c>
      <c r="L1415" s="5">
        <f t="shared" si="344"/>
        <v>0.76093487694117068</v>
      </c>
      <c r="M1415" s="5">
        <f t="shared" si="347"/>
        <v>0</v>
      </c>
      <c r="N1415" s="5">
        <f t="shared" si="348"/>
        <v>3012.4</v>
      </c>
    </row>
    <row r="1416" spans="1:14" ht="31.5" x14ac:dyDescent="0.25">
      <c r="A1416" s="38">
        <v>22</v>
      </c>
      <c r="B1416" s="34" t="s">
        <v>984</v>
      </c>
      <c r="C1416" s="18" t="s">
        <v>265</v>
      </c>
      <c r="D1416" s="32" t="s">
        <v>3125</v>
      </c>
      <c r="E1416" s="5">
        <v>11.42</v>
      </c>
      <c r="F1416" s="5">
        <v>2.1999999999999999E-2</v>
      </c>
      <c r="G1416" s="5">
        <f t="shared" si="345"/>
        <v>11.442</v>
      </c>
      <c r="H1416" s="49">
        <v>49440.641000000003</v>
      </c>
      <c r="I1416" s="49"/>
      <c r="J1416" s="5">
        <f t="shared" si="349"/>
        <v>49440.641000000003</v>
      </c>
      <c r="K1416" s="5">
        <f t="shared" si="350"/>
        <v>4320.978937248733</v>
      </c>
      <c r="L1416" s="5">
        <f t="shared" si="344"/>
        <v>1.2739087648904048</v>
      </c>
      <c r="M1416" s="5">
        <f t="shared" si="347"/>
        <v>3374.7</v>
      </c>
      <c r="N1416" s="5">
        <f t="shared" si="348"/>
        <v>0</v>
      </c>
    </row>
    <row r="1417" spans="1:14" ht="31.5" x14ac:dyDescent="0.25">
      <c r="A1417" s="38">
        <v>22</v>
      </c>
      <c r="B1417" s="34" t="s">
        <v>985</v>
      </c>
      <c r="C1417" s="18" t="s">
        <v>266</v>
      </c>
      <c r="D1417" s="32" t="s">
        <v>2832</v>
      </c>
      <c r="E1417" s="5">
        <v>9.9459999999999997</v>
      </c>
      <c r="F1417" s="5">
        <v>0.04</v>
      </c>
      <c r="G1417" s="5">
        <f t="shared" si="345"/>
        <v>9.9859999999999989</v>
      </c>
      <c r="H1417" s="49">
        <v>20391.235000000001</v>
      </c>
      <c r="I1417" s="49"/>
      <c r="J1417" s="5">
        <f t="shared" si="349"/>
        <v>20391.235000000001</v>
      </c>
      <c r="K1417" s="5">
        <f t="shared" si="350"/>
        <v>2041.9822751852596</v>
      </c>
      <c r="L1417" s="5">
        <f t="shared" si="344"/>
        <v>0.60201615325754398</v>
      </c>
      <c r="M1417" s="5">
        <f t="shared" si="347"/>
        <v>0</v>
      </c>
      <c r="N1417" s="5">
        <f t="shared" si="348"/>
        <v>8074.5</v>
      </c>
    </row>
    <row r="1418" spans="1:14" ht="31.5" x14ac:dyDescent="0.25">
      <c r="A1418" s="38">
        <v>22</v>
      </c>
      <c r="B1418" s="34" t="s">
        <v>985</v>
      </c>
      <c r="C1418" s="18" t="s">
        <v>267</v>
      </c>
      <c r="D1418" s="32" t="s">
        <v>2529</v>
      </c>
      <c r="E1418" s="5">
        <v>18.771000000000001</v>
      </c>
      <c r="F1418" s="5">
        <v>9.5000000000000001E-2</v>
      </c>
      <c r="G1418" s="5">
        <f t="shared" si="345"/>
        <v>18.866</v>
      </c>
      <c r="H1418" s="49">
        <v>49770.188000000002</v>
      </c>
      <c r="I1418" s="49">
        <f>(144.05)*0.6</f>
        <v>86.43</v>
      </c>
      <c r="J1418" s="5">
        <f t="shared" si="349"/>
        <v>49856.618000000002</v>
      </c>
      <c r="K1418" s="5">
        <f t="shared" si="350"/>
        <v>2642.6703063712498</v>
      </c>
      <c r="L1418" s="5">
        <f t="shared" si="344"/>
        <v>0.77911068646529613</v>
      </c>
      <c r="M1418" s="5">
        <f t="shared" si="347"/>
        <v>0</v>
      </c>
      <c r="N1418" s="5">
        <f t="shared" si="348"/>
        <v>6188.7</v>
      </c>
    </row>
    <row r="1419" spans="1:14" ht="31.5" x14ac:dyDescent="0.25">
      <c r="A1419" s="38">
        <v>22</v>
      </c>
      <c r="B1419" s="34" t="s">
        <v>985</v>
      </c>
      <c r="C1419" s="18" t="s">
        <v>268</v>
      </c>
      <c r="D1419" s="32" t="s">
        <v>2530</v>
      </c>
      <c r="E1419" s="5">
        <v>12.364000000000001</v>
      </c>
      <c r="F1419" s="5">
        <v>2.5000000000000001E-2</v>
      </c>
      <c r="G1419" s="5">
        <f t="shared" si="345"/>
        <v>12.389000000000001</v>
      </c>
      <c r="H1419" s="49">
        <v>21590.701000000001</v>
      </c>
      <c r="I1419" s="49"/>
      <c r="J1419" s="5">
        <f t="shared" si="349"/>
        <v>21590.701000000001</v>
      </c>
      <c r="K1419" s="5">
        <f t="shared" si="350"/>
        <v>1742.7315360400355</v>
      </c>
      <c r="L1419" s="5">
        <f t="shared" si="344"/>
        <v>0.51379120584788041</v>
      </c>
      <c r="M1419" s="5">
        <f t="shared" si="347"/>
        <v>0</v>
      </c>
      <c r="N1419" s="5">
        <f t="shared" si="348"/>
        <v>12983.5</v>
      </c>
    </row>
    <row r="1420" spans="1:14" ht="31.5" x14ac:dyDescent="0.25">
      <c r="A1420" s="38">
        <v>22</v>
      </c>
      <c r="B1420" s="34" t="s">
        <v>985</v>
      </c>
      <c r="C1420" s="18" t="s">
        <v>443</v>
      </c>
      <c r="D1420" s="32" t="s">
        <v>2531</v>
      </c>
      <c r="E1420" s="5">
        <v>27.367999999999999</v>
      </c>
      <c r="F1420" s="5">
        <v>8.4000000000000005E-2</v>
      </c>
      <c r="G1420" s="5">
        <f t="shared" si="345"/>
        <v>27.451999999999998</v>
      </c>
      <c r="H1420" s="49">
        <v>75323.016000000003</v>
      </c>
      <c r="I1420" s="49"/>
      <c r="J1420" s="5">
        <f t="shared" si="349"/>
        <v>75323.016000000003</v>
      </c>
      <c r="K1420" s="5">
        <f t="shared" si="350"/>
        <v>2743.8079557045025</v>
      </c>
      <c r="L1420" s="5">
        <f t="shared" si="344"/>
        <v>0.80892803568572036</v>
      </c>
      <c r="M1420" s="5">
        <f t="shared" si="347"/>
        <v>0</v>
      </c>
      <c r="N1420" s="5">
        <f t="shared" si="348"/>
        <v>6784.1</v>
      </c>
    </row>
    <row r="1421" spans="1:14" ht="15.75" x14ac:dyDescent="0.25">
      <c r="A1421" s="38">
        <v>22</v>
      </c>
      <c r="B1421" s="34" t="s">
        <v>984</v>
      </c>
      <c r="C1421" s="18" t="s">
        <v>444</v>
      </c>
      <c r="D1421" s="32" t="s">
        <v>2532</v>
      </c>
      <c r="E1421" s="5">
        <v>2.6619999999999999</v>
      </c>
      <c r="F1421" s="5">
        <v>8.9999999999999993E-3</v>
      </c>
      <c r="G1421" s="5">
        <f t="shared" si="345"/>
        <v>2.6709999999999998</v>
      </c>
      <c r="H1421" s="49">
        <v>5716.9219999999996</v>
      </c>
      <c r="I1421" s="49"/>
      <c r="J1421" s="5">
        <f t="shared" si="349"/>
        <v>5716.9219999999996</v>
      </c>
      <c r="K1421" s="5">
        <f t="shared" si="350"/>
        <v>2140.3676525645824</v>
      </c>
      <c r="L1421" s="5">
        <f t="shared" si="344"/>
        <v>0.63102207909072394</v>
      </c>
      <c r="M1421" s="5">
        <f t="shared" si="347"/>
        <v>0</v>
      </c>
      <c r="N1421" s="5">
        <f t="shared" si="348"/>
        <v>1949.5</v>
      </c>
    </row>
    <row r="1422" spans="1:14" ht="31.5" x14ac:dyDescent="0.25">
      <c r="A1422" s="38">
        <v>22</v>
      </c>
      <c r="B1422" s="34" t="s">
        <v>984</v>
      </c>
      <c r="C1422" s="18" t="s">
        <v>445</v>
      </c>
      <c r="D1422" s="32" t="s">
        <v>2533</v>
      </c>
      <c r="E1422" s="5">
        <v>6.4</v>
      </c>
      <c r="F1422" s="5">
        <v>2.5000000000000001E-2</v>
      </c>
      <c r="G1422" s="5">
        <f t="shared" si="345"/>
        <v>6.4250000000000007</v>
      </c>
      <c r="H1422" s="49">
        <v>15655.635</v>
      </c>
      <c r="I1422" s="49"/>
      <c r="J1422" s="5">
        <f t="shared" si="349"/>
        <v>15655.635</v>
      </c>
      <c r="K1422" s="5">
        <f t="shared" si="350"/>
        <v>2436.674708171206</v>
      </c>
      <c r="L1422" s="5">
        <f t="shared" si="344"/>
        <v>0.71837917124921724</v>
      </c>
      <c r="M1422" s="5">
        <f t="shared" si="347"/>
        <v>0</v>
      </c>
      <c r="N1422" s="5">
        <f t="shared" si="348"/>
        <v>3166.4</v>
      </c>
    </row>
    <row r="1423" spans="1:14" ht="31.5" x14ac:dyDescent="0.25">
      <c r="A1423" s="38">
        <v>22</v>
      </c>
      <c r="B1423" s="34" t="s">
        <v>984</v>
      </c>
      <c r="C1423" s="18" t="s">
        <v>446</v>
      </c>
      <c r="D1423" s="32" t="s">
        <v>2534</v>
      </c>
      <c r="E1423" s="5">
        <v>12.656000000000001</v>
      </c>
      <c r="F1423" s="5">
        <v>4.5999999999999999E-2</v>
      </c>
      <c r="G1423" s="5">
        <f t="shared" si="345"/>
        <v>12.702</v>
      </c>
      <c r="H1423" s="49">
        <v>22638.112000000001</v>
      </c>
      <c r="I1423" s="49"/>
      <c r="J1423" s="5">
        <f t="shared" si="349"/>
        <v>22638.112000000001</v>
      </c>
      <c r="K1423" s="5">
        <f t="shared" si="350"/>
        <v>1782.2478349866165</v>
      </c>
      <c r="L1423" s="5">
        <f t="shared" si="344"/>
        <v>0.52544138056873468</v>
      </c>
      <c r="M1423" s="5">
        <f t="shared" si="347"/>
        <v>0</v>
      </c>
      <c r="N1423" s="5">
        <f t="shared" si="348"/>
        <v>12910</v>
      </c>
    </row>
    <row r="1424" spans="1:14" ht="15.75" x14ac:dyDescent="0.25">
      <c r="A1424" s="38">
        <v>22</v>
      </c>
      <c r="B1424" s="34" t="s">
        <v>983</v>
      </c>
      <c r="C1424" s="18" t="s">
        <v>642</v>
      </c>
      <c r="D1424" s="32" t="s">
        <v>2535</v>
      </c>
      <c r="E1424" s="5">
        <v>34.872</v>
      </c>
      <c r="F1424" s="5">
        <v>0.13500000000000001</v>
      </c>
      <c r="G1424" s="5">
        <f t="shared" si="345"/>
        <v>35.006999999999998</v>
      </c>
      <c r="H1424" s="49">
        <v>85928.260999999999</v>
      </c>
      <c r="I1424" s="49"/>
      <c r="J1424" s="5">
        <f t="shared" si="349"/>
        <v>85928.260999999999</v>
      </c>
      <c r="K1424" s="5">
        <f t="shared" si="350"/>
        <v>2454.6022509783757</v>
      </c>
      <c r="L1424" s="5">
        <f t="shared" si="344"/>
        <v>0.72366456010361024</v>
      </c>
      <c r="M1424" s="5">
        <f t="shared" si="347"/>
        <v>0</v>
      </c>
      <c r="N1424" s="5">
        <f t="shared" si="348"/>
        <v>16750.5</v>
      </c>
    </row>
    <row r="1425" spans="1:14" ht="31.5" x14ac:dyDescent="0.25">
      <c r="A1425" s="38">
        <v>22</v>
      </c>
      <c r="B1425" s="34" t="s">
        <v>984</v>
      </c>
      <c r="C1425" s="18" t="s">
        <v>643</v>
      </c>
      <c r="D1425" s="32" t="s">
        <v>2536</v>
      </c>
      <c r="E1425" s="5">
        <v>12.162000000000001</v>
      </c>
      <c r="F1425" s="5">
        <v>1.0999999999999999E-2</v>
      </c>
      <c r="G1425" s="5">
        <f t="shared" si="345"/>
        <v>12.173</v>
      </c>
      <c r="H1425" s="49">
        <v>25392.481</v>
      </c>
      <c r="I1425" s="49"/>
      <c r="J1425" s="5">
        <f t="shared" si="349"/>
        <v>25392.481</v>
      </c>
      <c r="K1425" s="5">
        <f t="shared" si="350"/>
        <v>2085.9673868397272</v>
      </c>
      <c r="L1425" s="5">
        <f t="shared" si="344"/>
        <v>0.61498382101872651</v>
      </c>
      <c r="M1425" s="5">
        <f t="shared" si="347"/>
        <v>0</v>
      </c>
      <c r="N1425" s="5">
        <f t="shared" si="348"/>
        <v>9414.6</v>
      </c>
    </row>
    <row r="1426" spans="1:14" ht="31.5" x14ac:dyDescent="0.25">
      <c r="A1426" s="38">
        <v>22</v>
      </c>
      <c r="B1426" s="34" t="s">
        <v>985</v>
      </c>
      <c r="C1426" s="18" t="s">
        <v>644</v>
      </c>
      <c r="D1426" s="32" t="s">
        <v>2537</v>
      </c>
      <c r="E1426" s="5">
        <v>10.339</v>
      </c>
      <c r="F1426" s="5">
        <v>0.01</v>
      </c>
      <c r="G1426" s="5">
        <f t="shared" si="345"/>
        <v>10.349</v>
      </c>
      <c r="H1426" s="49">
        <v>24376.560000000001</v>
      </c>
      <c r="I1426" s="49"/>
      <c r="J1426" s="5">
        <f t="shared" si="349"/>
        <v>24376.560000000001</v>
      </c>
      <c r="K1426" s="5">
        <f t="shared" si="350"/>
        <v>2355.4507681901632</v>
      </c>
      <c r="L1426" s="5">
        <f t="shared" si="344"/>
        <v>0.69443277147188687</v>
      </c>
      <c r="M1426" s="5">
        <f t="shared" si="347"/>
        <v>0</v>
      </c>
      <c r="N1426" s="5">
        <f t="shared" si="348"/>
        <v>5772.8</v>
      </c>
    </row>
    <row r="1427" spans="1:14" ht="31.5" x14ac:dyDescent="0.25">
      <c r="A1427" s="38">
        <v>22</v>
      </c>
      <c r="B1427" s="34" t="s">
        <v>983</v>
      </c>
      <c r="C1427" s="18" t="s">
        <v>645</v>
      </c>
      <c r="D1427" s="32" t="s">
        <v>3126</v>
      </c>
      <c r="E1427" s="5">
        <v>29.623999999999999</v>
      </c>
      <c r="F1427" s="5">
        <v>0.06</v>
      </c>
      <c r="G1427" s="5">
        <f t="shared" si="345"/>
        <v>29.683999999999997</v>
      </c>
      <c r="H1427" s="49">
        <v>94528.441000000006</v>
      </c>
      <c r="I1427" s="49"/>
      <c r="J1427" s="5">
        <f t="shared" si="349"/>
        <v>94528.441000000006</v>
      </c>
      <c r="K1427" s="5">
        <f t="shared" si="350"/>
        <v>3184.4913421371789</v>
      </c>
      <c r="L1427" s="5">
        <f t="shared" si="344"/>
        <v>0.93885008267343883</v>
      </c>
      <c r="M1427" s="5">
        <f t="shared" si="347"/>
        <v>0</v>
      </c>
      <c r="N1427" s="5">
        <f t="shared" si="348"/>
        <v>0</v>
      </c>
    </row>
    <row r="1428" spans="1:14" ht="31.5" x14ac:dyDescent="0.25">
      <c r="A1428" s="38">
        <v>22</v>
      </c>
      <c r="B1428" s="34" t="s">
        <v>984</v>
      </c>
      <c r="C1428" s="18" t="s">
        <v>646</v>
      </c>
      <c r="D1428" s="32" t="s">
        <v>2539</v>
      </c>
      <c r="E1428" s="5">
        <v>3.984</v>
      </c>
      <c r="F1428" s="5">
        <v>2.3E-2</v>
      </c>
      <c r="G1428" s="5">
        <f t="shared" si="345"/>
        <v>4.0069999999999997</v>
      </c>
      <c r="H1428" s="49">
        <v>11846.5</v>
      </c>
      <c r="I1428" s="49"/>
      <c r="J1428" s="5">
        <f t="shared" ref="J1428:J1434" si="351">H1428+I1428</f>
        <v>11846.5</v>
      </c>
      <c r="K1428" s="5">
        <f t="shared" ref="K1428:K1434" si="352">J1428/G1428</f>
        <v>2956.451210381832</v>
      </c>
      <c r="L1428" s="5">
        <f t="shared" si="344"/>
        <v>0.8716194095299894</v>
      </c>
      <c r="M1428" s="5">
        <f t="shared" si="347"/>
        <v>0</v>
      </c>
      <c r="N1428" s="5">
        <f t="shared" si="348"/>
        <v>308.60000000000002</v>
      </c>
    </row>
    <row r="1429" spans="1:14" ht="31.5" x14ac:dyDescent="0.25">
      <c r="A1429" s="38">
        <v>22</v>
      </c>
      <c r="B1429" s="34" t="s">
        <v>985</v>
      </c>
      <c r="C1429" s="18" t="s">
        <v>647</v>
      </c>
      <c r="D1429" s="32" t="s">
        <v>2540</v>
      </c>
      <c r="E1429" s="5">
        <v>6.9779999999999998</v>
      </c>
      <c r="F1429" s="5">
        <v>3.7999999999999999E-2</v>
      </c>
      <c r="G1429" s="5">
        <f t="shared" si="345"/>
        <v>7.016</v>
      </c>
      <c r="H1429" s="49">
        <v>16890.254000000001</v>
      </c>
      <c r="I1429" s="49"/>
      <c r="J1429" s="5">
        <f t="shared" si="351"/>
        <v>16890.254000000001</v>
      </c>
      <c r="K1429" s="5">
        <f t="shared" si="352"/>
        <v>2407.3908209806159</v>
      </c>
      <c r="L1429" s="5">
        <f t="shared" si="344"/>
        <v>0.70974571084500904</v>
      </c>
      <c r="M1429" s="5">
        <f t="shared" si="347"/>
        <v>0</v>
      </c>
      <c r="N1429" s="5">
        <f t="shared" si="348"/>
        <v>3622.1</v>
      </c>
    </row>
    <row r="1430" spans="1:14" ht="31.5" x14ac:dyDescent="0.25">
      <c r="A1430" s="38">
        <v>22</v>
      </c>
      <c r="B1430" s="34" t="s">
        <v>985</v>
      </c>
      <c r="C1430" s="18" t="s">
        <v>717</v>
      </c>
      <c r="D1430" s="32" t="s">
        <v>2541</v>
      </c>
      <c r="E1430" s="5">
        <v>6.1349999999999998</v>
      </c>
      <c r="F1430" s="5">
        <v>2.5999999999999999E-2</v>
      </c>
      <c r="G1430" s="5">
        <f t="shared" si="345"/>
        <v>6.1609999999999996</v>
      </c>
      <c r="H1430" s="49">
        <v>9665.0810000000001</v>
      </c>
      <c r="I1430" s="49"/>
      <c r="J1430" s="5">
        <f t="shared" si="351"/>
        <v>9665.0810000000001</v>
      </c>
      <c r="K1430" s="5">
        <f t="shared" si="352"/>
        <v>1568.7519883135856</v>
      </c>
      <c r="L1430" s="5">
        <f t="shared" ref="L1430:L1459" si="353">K1430/$K$1659</f>
        <v>0.46249864599534096</v>
      </c>
      <c r="M1430" s="5">
        <f t="shared" si="347"/>
        <v>0</v>
      </c>
      <c r="N1430" s="5">
        <f t="shared" si="348"/>
        <v>7314.2</v>
      </c>
    </row>
    <row r="1431" spans="1:14" ht="31.5" x14ac:dyDescent="0.25">
      <c r="A1431" s="38">
        <v>22</v>
      </c>
      <c r="B1431" s="34" t="s">
        <v>985</v>
      </c>
      <c r="C1431" s="18" t="s">
        <v>718</v>
      </c>
      <c r="D1431" s="32" t="s">
        <v>2542</v>
      </c>
      <c r="E1431" s="5">
        <v>6.1609999999999996</v>
      </c>
      <c r="F1431" s="5">
        <v>4.3999999999999997E-2</v>
      </c>
      <c r="G1431" s="5">
        <f t="shared" si="345"/>
        <v>6.2049999999999992</v>
      </c>
      <c r="H1431" s="49">
        <v>13643.526</v>
      </c>
      <c r="I1431" s="49"/>
      <c r="J1431" s="5">
        <f t="shared" si="351"/>
        <v>13643.526</v>
      </c>
      <c r="K1431" s="5">
        <f t="shared" si="352"/>
        <v>2198.7954875100727</v>
      </c>
      <c r="L1431" s="5">
        <f t="shared" si="353"/>
        <v>0.64824774302742949</v>
      </c>
      <c r="M1431" s="5">
        <f t="shared" ref="M1431:M1458" si="354">ROUND(IF(L1431&lt;110%,0,(K1431-$K$1659*1.1)*0.5)*G1431,1)</f>
        <v>0</v>
      </c>
      <c r="N1431" s="5">
        <f t="shared" ref="N1431:N1458" si="355">ROUND(IF(L1431&gt;90%,0,(-K1431+$K$1659*0.9)*0.8)*G1431,1)</f>
        <v>4238.8999999999996</v>
      </c>
    </row>
    <row r="1432" spans="1:14" ht="15.75" x14ac:dyDescent="0.25">
      <c r="A1432" s="38">
        <v>22</v>
      </c>
      <c r="B1432" s="34" t="s">
        <v>984</v>
      </c>
      <c r="C1432" s="18" t="s">
        <v>719</v>
      </c>
      <c r="D1432" s="32" t="s">
        <v>2543</v>
      </c>
      <c r="E1432" s="5">
        <v>8.0370000000000008</v>
      </c>
      <c r="F1432" s="5">
        <v>7.0000000000000001E-3</v>
      </c>
      <c r="G1432" s="5">
        <f t="shared" si="345"/>
        <v>8.0440000000000005</v>
      </c>
      <c r="H1432" s="49">
        <v>14523.7</v>
      </c>
      <c r="I1432" s="49"/>
      <c r="J1432" s="5">
        <f t="shared" si="351"/>
        <v>14523.7</v>
      </c>
      <c r="K1432" s="5">
        <f t="shared" si="352"/>
        <v>1805.5320735952262</v>
      </c>
      <c r="L1432" s="5">
        <f t="shared" si="353"/>
        <v>0.53230602769571056</v>
      </c>
      <c r="M1432" s="5">
        <f t="shared" si="354"/>
        <v>0</v>
      </c>
      <c r="N1432" s="5">
        <f t="shared" si="355"/>
        <v>8025.9</v>
      </c>
    </row>
    <row r="1433" spans="1:14" ht="31.5" x14ac:dyDescent="0.25">
      <c r="A1433" s="38">
        <v>22</v>
      </c>
      <c r="B1433" s="34" t="s">
        <v>985</v>
      </c>
      <c r="C1433" s="18" t="s">
        <v>720</v>
      </c>
      <c r="D1433" s="32" t="s">
        <v>2544</v>
      </c>
      <c r="E1433" s="5">
        <v>6.9850000000000003</v>
      </c>
      <c r="F1433" s="5">
        <v>0.01</v>
      </c>
      <c r="G1433" s="5">
        <f t="shared" si="345"/>
        <v>6.9950000000000001</v>
      </c>
      <c r="H1433" s="49">
        <v>6954.3890000000001</v>
      </c>
      <c r="I1433" s="49"/>
      <c r="J1433" s="5">
        <f t="shared" si="351"/>
        <v>6954.3890000000001</v>
      </c>
      <c r="K1433" s="5">
        <f t="shared" si="352"/>
        <v>994.19428162973554</v>
      </c>
      <c r="L1433" s="5">
        <f t="shared" si="353"/>
        <v>0.29310784147873159</v>
      </c>
      <c r="M1433" s="5">
        <f t="shared" si="354"/>
        <v>0</v>
      </c>
      <c r="N1433" s="5">
        <f t="shared" si="355"/>
        <v>11519.5</v>
      </c>
    </row>
    <row r="1434" spans="1:14" ht="15.75" x14ac:dyDescent="0.25">
      <c r="A1434" s="38">
        <v>22</v>
      </c>
      <c r="B1434" s="34" t="s">
        <v>984</v>
      </c>
      <c r="C1434" s="18" t="s">
        <v>721</v>
      </c>
      <c r="D1434" s="32" t="s">
        <v>2253</v>
      </c>
      <c r="E1434" s="5">
        <v>3.4079999999999999</v>
      </c>
      <c r="F1434" s="5">
        <v>7.0000000000000001E-3</v>
      </c>
      <c r="G1434" s="5">
        <f t="shared" si="345"/>
        <v>3.415</v>
      </c>
      <c r="H1434" s="49">
        <v>19457.249</v>
      </c>
      <c r="I1434" s="49"/>
      <c r="J1434" s="5">
        <f t="shared" si="351"/>
        <v>19457.249</v>
      </c>
      <c r="K1434" s="5">
        <f t="shared" si="352"/>
        <v>5697.5838945827236</v>
      </c>
      <c r="L1434" s="5">
        <f t="shared" si="353"/>
        <v>1.6797587230612154</v>
      </c>
      <c r="M1434" s="5">
        <f t="shared" si="354"/>
        <v>3357.8</v>
      </c>
      <c r="N1434" s="5">
        <f t="shared" si="355"/>
        <v>0</v>
      </c>
    </row>
    <row r="1435" spans="1:14" ht="31.5" x14ac:dyDescent="0.25">
      <c r="A1435" s="38">
        <v>22</v>
      </c>
      <c r="B1435" s="34" t="s">
        <v>985</v>
      </c>
      <c r="C1435" s="18">
        <v>22540000000</v>
      </c>
      <c r="D1435" s="32" t="s">
        <v>2546</v>
      </c>
      <c r="E1435" s="5">
        <v>19.085999999999999</v>
      </c>
      <c r="F1435" s="5">
        <v>8.3000000000000004E-2</v>
      </c>
      <c r="G1435" s="5">
        <f t="shared" si="345"/>
        <v>19.168999999999997</v>
      </c>
      <c r="H1435" s="49">
        <v>45397.33</v>
      </c>
      <c r="I1435" s="49"/>
      <c r="J1435" s="5">
        <f t="shared" ref="J1435:J1458" si="356">H1435+I1435</f>
        <v>45397.33</v>
      </c>
      <c r="K1435" s="5">
        <f t="shared" ref="K1435:K1459" si="357">J1435/G1435</f>
        <v>2368.2680369346344</v>
      </c>
      <c r="L1435" s="5">
        <f t="shared" si="353"/>
        <v>0.69821155198266016</v>
      </c>
      <c r="M1435" s="5">
        <f t="shared" si="354"/>
        <v>0</v>
      </c>
      <c r="N1435" s="5">
        <f t="shared" si="355"/>
        <v>10496.1</v>
      </c>
    </row>
    <row r="1436" spans="1:14" ht="31.5" x14ac:dyDescent="0.25">
      <c r="A1436" s="38">
        <v>22</v>
      </c>
      <c r="B1436" s="34" t="s">
        <v>984</v>
      </c>
      <c r="C1436" s="18">
        <v>22543000000</v>
      </c>
      <c r="D1436" s="32" t="s">
        <v>3127</v>
      </c>
      <c r="E1436" s="5">
        <v>8.1120000000000001</v>
      </c>
      <c r="F1436" s="5">
        <v>4.7E-2</v>
      </c>
      <c r="G1436" s="5">
        <f t="shared" si="345"/>
        <v>8.1590000000000007</v>
      </c>
      <c r="H1436" s="49">
        <v>22749.499</v>
      </c>
      <c r="I1436" s="49"/>
      <c r="J1436" s="5">
        <f t="shared" si="356"/>
        <v>22749.499</v>
      </c>
      <c r="K1436" s="5">
        <f t="shared" si="357"/>
        <v>2788.2704988356413</v>
      </c>
      <c r="L1436" s="5">
        <f t="shared" si="353"/>
        <v>0.82203645954675875</v>
      </c>
      <c r="M1436" s="5">
        <f t="shared" si="354"/>
        <v>0</v>
      </c>
      <c r="N1436" s="5">
        <f t="shared" si="355"/>
        <v>1726.1</v>
      </c>
    </row>
    <row r="1437" spans="1:14" ht="31.5" x14ac:dyDescent="0.25">
      <c r="A1437" s="38">
        <v>22</v>
      </c>
      <c r="B1437" s="34" t="s">
        <v>985</v>
      </c>
      <c r="C1437" s="18">
        <v>22544000000</v>
      </c>
      <c r="D1437" s="32" t="s">
        <v>2356</v>
      </c>
      <c r="E1437" s="5">
        <v>5.9889999999999999</v>
      </c>
      <c r="F1437" s="5">
        <v>1.4E-2</v>
      </c>
      <c r="G1437" s="5">
        <f t="shared" si="345"/>
        <v>6.0030000000000001</v>
      </c>
      <c r="H1437" s="49">
        <v>11899.912</v>
      </c>
      <c r="I1437" s="49"/>
      <c r="J1437" s="5">
        <f t="shared" si="356"/>
        <v>11899.912</v>
      </c>
      <c r="K1437" s="5">
        <f t="shared" si="357"/>
        <v>1982.3275029152092</v>
      </c>
      <c r="L1437" s="5">
        <f t="shared" si="353"/>
        <v>0.58442876429638735</v>
      </c>
      <c r="M1437" s="5">
        <f t="shared" si="354"/>
        <v>0</v>
      </c>
      <c r="N1437" s="5">
        <f t="shared" si="355"/>
        <v>5140.3999999999996</v>
      </c>
    </row>
    <row r="1438" spans="1:14" ht="15.75" x14ac:dyDescent="0.25">
      <c r="A1438" s="38">
        <v>22</v>
      </c>
      <c r="B1438" s="34" t="s">
        <v>986</v>
      </c>
      <c r="C1438" s="18">
        <v>22545000000</v>
      </c>
      <c r="D1438" s="32" t="s">
        <v>3128</v>
      </c>
      <c r="E1438" s="5">
        <v>35.752000000000002</v>
      </c>
      <c r="F1438" s="5">
        <v>0.185</v>
      </c>
      <c r="G1438" s="5">
        <f t="shared" si="345"/>
        <v>35.937000000000005</v>
      </c>
      <c r="H1438" s="49">
        <v>99244.400999999998</v>
      </c>
      <c r="I1438" s="49"/>
      <c r="J1438" s="5">
        <f t="shared" si="356"/>
        <v>99244.400999999998</v>
      </c>
      <c r="K1438" s="5">
        <f t="shared" si="357"/>
        <v>2761.6217547374567</v>
      </c>
      <c r="L1438" s="5">
        <f t="shared" si="353"/>
        <v>0.81417989065970597</v>
      </c>
      <c r="M1438" s="5">
        <f t="shared" si="354"/>
        <v>0</v>
      </c>
      <c r="N1438" s="5">
        <f t="shared" si="355"/>
        <v>8368.7999999999993</v>
      </c>
    </row>
    <row r="1439" spans="1:14" ht="15.75" x14ac:dyDescent="0.25">
      <c r="A1439" s="38">
        <v>22</v>
      </c>
      <c r="B1439" s="34" t="s">
        <v>986</v>
      </c>
      <c r="C1439" s="18">
        <v>22546000000</v>
      </c>
      <c r="D1439" s="32" t="s">
        <v>3129</v>
      </c>
      <c r="E1439" s="5">
        <v>37.722999999999999</v>
      </c>
      <c r="F1439" s="5">
        <v>0.16700000000000001</v>
      </c>
      <c r="G1439" s="5">
        <f t="shared" si="345"/>
        <v>37.89</v>
      </c>
      <c r="H1439" s="49">
        <v>291506.12900000002</v>
      </c>
      <c r="I1439" s="49"/>
      <c r="J1439" s="5">
        <f t="shared" si="356"/>
        <v>291506.12900000002</v>
      </c>
      <c r="K1439" s="5">
        <f t="shared" si="357"/>
        <v>7693.4845341778837</v>
      </c>
      <c r="L1439" s="5">
        <f t="shared" si="353"/>
        <v>2.2681891124603291</v>
      </c>
      <c r="M1439" s="5">
        <f t="shared" si="354"/>
        <v>75067.399999999994</v>
      </c>
      <c r="N1439" s="5">
        <f t="shared" si="355"/>
        <v>0</v>
      </c>
    </row>
    <row r="1440" spans="1:14" ht="31.5" x14ac:dyDescent="0.25">
      <c r="A1440" s="38">
        <v>22</v>
      </c>
      <c r="B1440" s="34" t="s">
        <v>984</v>
      </c>
      <c r="C1440" s="18">
        <v>22547000000</v>
      </c>
      <c r="D1440" s="32" t="s">
        <v>3130</v>
      </c>
      <c r="E1440" s="5">
        <v>7.2270000000000003</v>
      </c>
      <c r="F1440" s="5">
        <v>2.9000000000000001E-2</v>
      </c>
      <c r="G1440" s="5">
        <f t="shared" si="345"/>
        <v>7.2560000000000002</v>
      </c>
      <c r="H1440" s="49">
        <v>11008.365</v>
      </c>
      <c r="I1440" s="49"/>
      <c r="J1440" s="5">
        <f t="shared" si="356"/>
        <v>11008.365</v>
      </c>
      <c r="K1440" s="5">
        <f t="shared" si="357"/>
        <v>1517.1396085997794</v>
      </c>
      <c r="L1440" s="5">
        <f t="shared" si="353"/>
        <v>0.44728231102840094</v>
      </c>
      <c r="M1440" s="5">
        <f t="shared" si="354"/>
        <v>0</v>
      </c>
      <c r="N1440" s="5">
        <f t="shared" si="355"/>
        <v>8913.7000000000007</v>
      </c>
    </row>
    <row r="1441" spans="1:14" ht="31.5" x14ac:dyDescent="0.25">
      <c r="A1441" s="38">
        <v>22</v>
      </c>
      <c r="B1441" s="34" t="s">
        <v>984</v>
      </c>
      <c r="C1441" s="18">
        <v>22548000000</v>
      </c>
      <c r="D1441" s="32" t="s">
        <v>3131</v>
      </c>
      <c r="E1441" s="86">
        <v>4.3049999999999997</v>
      </c>
      <c r="F1441" s="86">
        <v>1.4999999999999999E-2</v>
      </c>
      <c r="G1441" s="86">
        <f>F1441+E1441</f>
        <v>4.3199999999999994</v>
      </c>
      <c r="H1441" s="86">
        <v>8768.3790000000008</v>
      </c>
      <c r="I1441" s="86"/>
      <c r="J1441" s="5">
        <f t="shared" si="356"/>
        <v>8768.3790000000008</v>
      </c>
      <c r="K1441" s="5">
        <f t="shared" si="357"/>
        <v>2029.7173611111116</v>
      </c>
      <c r="L1441" s="5">
        <f t="shared" si="353"/>
        <v>0.59840021766364515</v>
      </c>
      <c r="M1441" s="5">
        <f t="shared" si="354"/>
        <v>0</v>
      </c>
      <c r="N1441" s="5">
        <f t="shared" si="355"/>
        <v>3535.5</v>
      </c>
    </row>
    <row r="1442" spans="1:14" ht="31.5" x14ac:dyDescent="0.25">
      <c r="A1442" s="38">
        <v>22</v>
      </c>
      <c r="B1442" s="34" t="s">
        <v>984</v>
      </c>
      <c r="C1442" s="18">
        <v>22549000000</v>
      </c>
      <c r="D1442" s="32" t="s">
        <v>2833</v>
      </c>
      <c r="E1442" s="86">
        <v>4.8449999999999998</v>
      </c>
      <c r="F1442" s="5">
        <v>7.0000000000000001E-3</v>
      </c>
      <c r="G1442" s="86">
        <f>F1442+E1442</f>
        <v>4.8519999999999994</v>
      </c>
      <c r="H1442" s="86">
        <v>19334.772000000001</v>
      </c>
      <c r="I1442" s="86"/>
      <c r="J1442" s="5">
        <f t="shared" si="356"/>
        <v>19334.772000000001</v>
      </c>
      <c r="K1442" s="5">
        <f t="shared" si="357"/>
        <v>3984.9076669414681</v>
      </c>
      <c r="L1442" s="5">
        <f t="shared" si="353"/>
        <v>1.1748284076172739</v>
      </c>
      <c r="M1442" s="5">
        <f t="shared" si="354"/>
        <v>615.70000000000005</v>
      </c>
      <c r="N1442" s="5">
        <f t="shared" si="355"/>
        <v>0</v>
      </c>
    </row>
    <row r="1443" spans="1:14" ht="31.5" x14ac:dyDescent="0.25">
      <c r="A1443" s="38">
        <v>22</v>
      </c>
      <c r="B1443" s="34" t="s">
        <v>986</v>
      </c>
      <c r="C1443" s="18">
        <v>22552000000</v>
      </c>
      <c r="D1443" s="32" t="s">
        <v>3132</v>
      </c>
      <c r="E1443" s="86">
        <v>51.57</v>
      </c>
      <c r="F1443" s="86">
        <v>0.16700000000000001</v>
      </c>
      <c r="G1443" s="86">
        <f>F1443+E1443</f>
        <v>51.737000000000002</v>
      </c>
      <c r="H1443" s="86">
        <v>190051.63200000001</v>
      </c>
      <c r="I1443" s="86">
        <f>(-2864.8)*0.6</f>
        <v>-1718.88</v>
      </c>
      <c r="J1443" s="5">
        <f t="shared" si="356"/>
        <v>188332.75200000001</v>
      </c>
      <c r="K1443" s="5">
        <f t="shared" si="357"/>
        <v>3640.1946769236715</v>
      </c>
      <c r="L1443" s="5">
        <f t="shared" si="353"/>
        <v>1.073200303029739</v>
      </c>
      <c r="M1443" s="5">
        <f t="shared" si="354"/>
        <v>0</v>
      </c>
      <c r="N1443" s="5">
        <f t="shared" si="355"/>
        <v>0</v>
      </c>
    </row>
    <row r="1444" spans="1:14" ht="31.5" x14ac:dyDescent="0.25">
      <c r="A1444" s="38">
        <v>22</v>
      </c>
      <c r="B1444" s="34" t="s">
        <v>985</v>
      </c>
      <c r="C1444" s="18">
        <v>22553000000</v>
      </c>
      <c r="D1444" s="32" t="s">
        <v>2553</v>
      </c>
      <c r="E1444" s="86">
        <v>18.587</v>
      </c>
      <c r="F1444" s="86">
        <v>5.0999999999999997E-2</v>
      </c>
      <c r="G1444" s="86">
        <f t="shared" si="345"/>
        <v>18.637999999999998</v>
      </c>
      <c r="H1444" s="86">
        <v>39016.951999999997</v>
      </c>
      <c r="I1444" s="86"/>
      <c r="J1444" s="5">
        <f t="shared" si="356"/>
        <v>39016.951999999997</v>
      </c>
      <c r="K1444" s="5">
        <f t="shared" si="357"/>
        <v>2093.4087348427943</v>
      </c>
      <c r="L1444" s="5">
        <f t="shared" si="353"/>
        <v>0.61717767537010704</v>
      </c>
      <c r="M1444" s="5">
        <f t="shared" si="354"/>
        <v>0</v>
      </c>
      <c r="N1444" s="5">
        <f t="shared" si="355"/>
        <v>14303.6</v>
      </c>
    </row>
    <row r="1445" spans="1:14" ht="31.5" x14ac:dyDescent="0.25">
      <c r="A1445" s="38">
        <v>22</v>
      </c>
      <c r="B1445" s="34" t="s">
        <v>983</v>
      </c>
      <c r="C1445" s="18">
        <v>22554000000</v>
      </c>
      <c r="D1445" s="32" t="s">
        <v>2554</v>
      </c>
      <c r="E1445" s="86">
        <v>23.36</v>
      </c>
      <c r="F1445" s="86">
        <v>0.115</v>
      </c>
      <c r="G1445" s="86">
        <f t="shared" ref="G1445:G1458" si="358">F1445+E1445</f>
        <v>23.474999999999998</v>
      </c>
      <c r="H1445" s="86">
        <v>56209.136999999995</v>
      </c>
      <c r="I1445" s="86"/>
      <c r="J1445" s="5">
        <f t="shared" si="356"/>
        <v>56209.136999999995</v>
      </c>
      <c r="K1445" s="5">
        <f t="shared" si="357"/>
        <v>2394.4254313099041</v>
      </c>
      <c r="L1445" s="5">
        <f t="shared" si="353"/>
        <v>0.70592326139973227</v>
      </c>
      <c r="M1445" s="5">
        <f t="shared" si="354"/>
        <v>0</v>
      </c>
      <c r="N1445" s="5">
        <f t="shared" si="355"/>
        <v>12362.7</v>
      </c>
    </row>
    <row r="1446" spans="1:14" ht="31.5" x14ac:dyDescent="0.25">
      <c r="A1446" s="38">
        <v>22</v>
      </c>
      <c r="B1446" s="34" t="s">
        <v>985</v>
      </c>
      <c r="C1446" s="18">
        <v>22555000000</v>
      </c>
      <c r="D1446" s="32" t="s">
        <v>2555</v>
      </c>
      <c r="E1446" s="86">
        <v>7.242</v>
      </c>
      <c r="F1446" s="86">
        <v>2.8000000000000001E-2</v>
      </c>
      <c r="G1446" s="86">
        <f t="shared" si="358"/>
        <v>7.27</v>
      </c>
      <c r="H1446" s="86">
        <v>15178.924999999999</v>
      </c>
      <c r="I1446" s="86"/>
      <c r="J1446" s="5">
        <f t="shared" si="356"/>
        <v>15178.924999999999</v>
      </c>
      <c r="K1446" s="5">
        <f t="shared" si="357"/>
        <v>2087.8851444291608</v>
      </c>
      <c r="L1446" s="5">
        <f t="shared" si="353"/>
        <v>0.61554921331468393</v>
      </c>
      <c r="M1446" s="5">
        <f t="shared" si="354"/>
        <v>0</v>
      </c>
      <c r="N1446" s="5">
        <f t="shared" si="355"/>
        <v>5611.5</v>
      </c>
    </row>
    <row r="1447" spans="1:14" ht="15.75" x14ac:dyDescent="0.25">
      <c r="A1447" s="38">
        <v>22</v>
      </c>
      <c r="B1447" s="34" t="s">
        <v>984</v>
      </c>
      <c r="C1447" s="18">
        <v>22556000000</v>
      </c>
      <c r="D1447" s="32" t="s">
        <v>2556</v>
      </c>
      <c r="E1447" s="86">
        <v>3.7440000000000002</v>
      </c>
      <c r="F1447" s="86">
        <v>1.0999999999999999E-2</v>
      </c>
      <c r="G1447" s="86">
        <f t="shared" si="358"/>
        <v>3.7550000000000003</v>
      </c>
      <c r="H1447" s="86">
        <v>8735.8590000000004</v>
      </c>
      <c r="I1447" s="86"/>
      <c r="J1447" s="5">
        <f t="shared" si="356"/>
        <v>8735.8590000000004</v>
      </c>
      <c r="K1447" s="5">
        <f t="shared" si="357"/>
        <v>2326.4604527296938</v>
      </c>
      <c r="L1447" s="5">
        <f t="shared" si="353"/>
        <v>0.6858858617325988</v>
      </c>
      <c r="M1447" s="5">
        <f t="shared" si="354"/>
        <v>0</v>
      </c>
      <c r="N1447" s="5">
        <f t="shared" si="355"/>
        <v>2181.6999999999998</v>
      </c>
    </row>
    <row r="1448" spans="1:14" ht="15.75" x14ac:dyDescent="0.25">
      <c r="A1448" s="38">
        <v>22</v>
      </c>
      <c r="B1448" s="34" t="s">
        <v>983</v>
      </c>
      <c r="C1448" s="18">
        <v>22557000000</v>
      </c>
      <c r="D1448" s="32" t="s">
        <v>2557</v>
      </c>
      <c r="E1448" s="86">
        <v>29.344999999999999</v>
      </c>
      <c r="F1448" s="86">
        <v>0.14299999999999999</v>
      </c>
      <c r="G1448" s="86">
        <f t="shared" si="358"/>
        <v>29.488</v>
      </c>
      <c r="H1448" s="86">
        <v>69049.929999999993</v>
      </c>
      <c r="I1448" s="86"/>
      <c r="J1448" s="5">
        <f t="shared" si="356"/>
        <v>69049.929999999993</v>
      </c>
      <c r="K1448" s="5">
        <f t="shared" si="357"/>
        <v>2341.6281199131849</v>
      </c>
      <c r="L1448" s="5">
        <f t="shared" si="353"/>
        <v>0.69035758548978354</v>
      </c>
      <c r="M1448" s="5">
        <f t="shared" si="354"/>
        <v>0</v>
      </c>
      <c r="N1448" s="5">
        <f t="shared" si="355"/>
        <v>16774.8</v>
      </c>
    </row>
    <row r="1449" spans="1:14" ht="31.5" x14ac:dyDescent="0.25">
      <c r="A1449" s="38">
        <v>22</v>
      </c>
      <c r="B1449" s="34" t="s">
        <v>986</v>
      </c>
      <c r="C1449" s="18">
        <v>22558000000</v>
      </c>
      <c r="D1449" s="32" t="s">
        <v>2558</v>
      </c>
      <c r="E1449" s="86">
        <v>109.06399999999999</v>
      </c>
      <c r="F1449" s="86">
        <v>0.375</v>
      </c>
      <c r="G1449" s="86">
        <f t="shared" si="358"/>
        <v>109.43899999999999</v>
      </c>
      <c r="H1449" s="86">
        <v>273489.64799999999</v>
      </c>
      <c r="I1449" s="86"/>
      <c r="J1449" s="5">
        <f t="shared" si="356"/>
        <v>273489.64799999999</v>
      </c>
      <c r="K1449" s="5">
        <f t="shared" si="357"/>
        <v>2499.014501228995</v>
      </c>
      <c r="L1449" s="5">
        <f t="shared" si="353"/>
        <v>0.73675815664374844</v>
      </c>
      <c r="M1449" s="5">
        <f t="shared" si="354"/>
        <v>0</v>
      </c>
      <c r="N1449" s="5">
        <f t="shared" si="355"/>
        <v>48477.2</v>
      </c>
    </row>
    <row r="1450" spans="1:14" ht="31.5" x14ac:dyDescent="0.25">
      <c r="A1450" s="38">
        <v>22</v>
      </c>
      <c r="B1450" s="34" t="s">
        <v>984</v>
      </c>
      <c r="C1450" s="18">
        <v>22559000000</v>
      </c>
      <c r="D1450" s="32" t="s">
        <v>2559</v>
      </c>
      <c r="E1450" s="86">
        <v>4.085</v>
      </c>
      <c r="F1450" s="86">
        <v>1.6E-2</v>
      </c>
      <c r="G1450" s="86">
        <f t="shared" si="358"/>
        <v>4.101</v>
      </c>
      <c r="H1450" s="86">
        <v>8703.5889999999999</v>
      </c>
      <c r="I1450" s="86"/>
      <c r="J1450" s="5">
        <f t="shared" si="356"/>
        <v>8703.5889999999999</v>
      </c>
      <c r="K1450" s="5">
        <f t="shared" si="357"/>
        <v>2122.3089490368202</v>
      </c>
      <c r="L1450" s="5">
        <f t="shared" si="353"/>
        <v>0.6256980215008433</v>
      </c>
      <c r="M1450" s="5">
        <f t="shared" si="354"/>
        <v>0</v>
      </c>
      <c r="N1450" s="5">
        <f t="shared" si="355"/>
        <v>3052.5</v>
      </c>
    </row>
    <row r="1451" spans="1:14" ht="31.5" x14ac:dyDescent="0.25">
      <c r="A1451" s="38">
        <v>22</v>
      </c>
      <c r="B1451" s="34" t="s">
        <v>984</v>
      </c>
      <c r="C1451" s="18">
        <v>22560000000</v>
      </c>
      <c r="D1451" s="32" t="s">
        <v>2560</v>
      </c>
      <c r="E1451" s="86">
        <v>5.1029999999999998</v>
      </c>
      <c r="F1451" s="86">
        <v>1.0999999999999999E-2</v>
      </c>
      <c r="G1451" s="86">
        <f t="shared" si="358"/>
        <v>5.1139999999999999</v>
      </c>
      <c r="H1451" s="86">
        <v>16989.835999999999</v>
      </c>
      <c r="I1451" s="86">
        <f>(-1841.504-11225.707)*0.6</f>
        <v>-7840.3265999999994</v>
      </c>
      <c r="J1451" s="5">
        <f t="shared" si="356"/>
        <v>9149.509399999999</v>
      </c>
      <c r="K1451" s="5">
        <f t="shared" si="357"/>
        <v>1789.1101681658192</v>
      </c>
      <c r="L1451" s="5">
        <f t="shared" si="353"/>
        <v>0.52746453007062766</v>
      </c>
      <c r="M1451" s="5">
        <f t="shared" si="354"/>
        <v>0</v>
      </c>
      <c r="N1451" s="5">
        <f t="shared" si="355"/>
        <v>5169.7</v>
      </c>
    </row>
    <row r="1452" spans="1:14" ht="31.5" x14ac:dyDescent="0.25">
      <c r="A1452" s="38">
        <v>22</v>
      </c>
      <c r="B1452" s="34" t="s">
        <v>984</v>
      </c>
      <c r="C1452" s="18">
        <v>22561000000</v>
      </c>
      <c r="D1452" s="32" t="s">
        <v>2561</v>
      </c>
      <c r="E1452" s="86">
        <v>8.35</v>
      </c>
      <c r="F1452" s="86">
        <v>1.4E-2</v>
      </c>
      <c r="G1452" s="86">
        <f t="shared" si="358"/>
        <v>8.363999999999999</v>
      </c>
      <c r="H1452" s="86">
        <v>12784.236999999999</v>
      </c>
      <c r="I1452" s="86"/>
      <c r="J1452" s="5">
        <f t="shared" si="356"/>
        <v>12784.236999999999</v>
      </c>
      <c r="K1452" s="5">
        <f t="shared" si="357"/>
        <v>1528.4836202773793</v>
      </c>
      <c r="L1452" s="5">
        <f t="shared" si="353"/>
        <v>0.45062674665629476</v>
      </c>
      <c r="M1452" s="5">
        <f t="shared" si="354"/>
        <v>0</v>
      </c>
      <c r="N1452" s="5">
        <f t="shared" si="355"/>
        <v>10198.9</v>
      </c>
    </row>
    <row r="1453" spans="1:14" ht="31.5" x14ac:dyDescent="0.25">
      <c r="A1453" s="38">
        <v>22</v>
      </c>
      <c r="B1453" s="34" t="s">
        <v>984</v>
      </c>
      <c r="C1453" s="18">
        <v>22562000000</v>
      </c>
      <c r="D1453" s="32" t="s">
        <v>2562</v>
      </c>
      <c r="E1453" s="86">
        <v>5.7080000000000002</v>
      </c>
      <c r="F1453" s="86">
        <v>4.1000000000000002E-2</v>
      </c>
      <c r="G1453" s="86">
        <f t="shared" si="358"/>
        <v>5.7490000000000006</v>
      </c>
      <c r="H1453" s="86">
        <v>14986.989</v>
      </c>
      <c r="I1453" s="86"/>
      <c r="J1453" s="5">
        <f t="shared" si="356"/>
        <v>14986.989</v>
      </c>
      <c r="K1453" s="5">
        <f t="shared" si="357"/>
        <v>2606.8862410854058</v>
      </c>
      <c r="L1453" s="5">
        <f t="shared" si="353"/>
        <v>0.76856084693285154</v>
      </c>
      <c r="M1453" s="5">
        <f t="shared" si="354"/>
        <v>0</v>
      </c>
      <c r="N1453" s="5">
        <f t="shared" si="355"/>
        <v>2050.5</v>
      </c>
    </row>
    <row r="1454" spans="1:14" ht="31.5" x14ac:dyDescent="0.25">
      <c r="A1454" s="38">
        <v>22</v>
      </c>
      <c r="B1454" s="34" t="s">
        <v>985</v>
      </c>
      <c r="C1454" s="18">
        <v>22563000000</v>
      </c>
      <c r="D1454" s="32" t="s">
        <v>2563</v>
      </c>
      <c r="E1454" s="86">
        <v>25.018999999999998</v>
      </c>
      <c r="F1454" s="86">
        <v>9.1999999999999998E-2</v>
      </c>
      <c r="G1454" s="86">
        <f t="shared" si="358"/>
        <v>25.110999999999997</v>
      </c>
      <c r="H1454" s="86">
        <v>66768.165999999997</v>
      </c>
      <c r="I1454" s="86"/>
      <c r="J1454" s="5">
        <f t="shared" si="356"/>
        <v>66768.165999999997</v>
      </c>
      <c r="K1454" s="5">
        <f t="shared" si="357"/>
        <v>2658.9210306240293</v>
      </c>
      <c r="L1454" s="5">
        <f t="shared" si="353"/>
        <v>0.78390171654483976</v>
      </c>
      <c r="M1454" s="5">
        <f t="shared" si="354"/>
        <v>0</v>
      </c>
      <c r="N1454" s="5">
        <f t="shared" si="355"/>
        <v>7910.9</v>
      </c>
    </row>
    <row r="1455" spans="1:14" ht="31.5" x14ac:dyDescent="0.25">
      <c r="A1455" s="38">
        <v>22</v>
      </c>
      <c r="B1455" s="34" t="s">
        <v>986</v>
      </c>
      <c r="C1455" s="18">
        <v>22564000000</v>
      </c>
      <c r="D1455" s="32" t="s">
        <v>2564</v>
      </c>
      <c r="E1455" s="86">
        <v>293.22300000000001</v>
      </c>
      <c r="F1455" s="86">
        <v>1.661</v>
      </c>
      <c r="G1455" s="86">
        <f t="shared" si="358"/>
        <v>294.88400000000001</v>
      </c>
      <c r="H1455" s="86">
        <v>1283643.5520000001</v>
      </c>
      <c r="I1455" s="86"/>
      <c r="J1455" s="5">
        <f t="shared" si="356"/>
        <v>1283643.5520000001</v>
      </c>
      <c r="K1455" s="5">
        <f t="shared" si="357"/>
        <v>4353.0457807137727</v>
      </c>
      <c r="L1455" s="5">
        <f t="shared" si="353"/>
        <v>1.2833626950172878</v>
      </c>
      <c r="M1455" s="5">
        <f t="shared" si="354"/>
        <v>91701.4</v>
      </c>
      <c r="N1455" s="5">
        <f t="shared" si="355"/>
        <v>0</v>
      </c>
    </row>
    <row r="1456" spans="1:14" ht="15.75" x14ac:dyDescent="0.25">
      <c r="A1456" s="38">
        <v>22</v>
      </c>
      <c r="B1456" s="34" t="s">
        <v>986</v>
      </c>
      <c r="C1456" s="18">
        <v>22565000000</v>
      </c>
      <c r="D1456" s="32" t="s">
        <v>2565</v>
      </c>
      <c r="E1456" s="86">
        <v>42.822000000000003</v>
      </c>
      <c r="F1456" s="86">
        <v>0.214</v>
      </c>
      <c r="G1456" s="86">
        <f t="shared" si="358"/>
        <v>43.036000000000001</v>
      </c>
      <c r="H1456" s="86">
        <v>136792.902</v>
      </c>
      <c r="I1456" s="5">
        <f>(98.084+1841.504+11225.707)*0.6</f>
        <v>7899.1769999999997</v>
      </c>
      <c r="J1456" s="5">
        <f t="shared" si="356"/>
        <v>144692.079</v>
      </c>
      <c r="K1456" s="5">
        <f t="shared" si="357"/>
        <v>3362.1172739102144</v>
      </c>
      <c r="L1456" s="5">
        <f t="shared" si="353"/>
        <v>0.99121766757575547</v>
      </c>
      <c r="M1456" s="5">
        <f t="shared" si="354"/>
        <v>0</v>
      </c>
      <c r="N1456" s="5">
        <f t="shared" si="355"/>
        <v>0</v>
      </c>
    </row>
    <row r="1457" spans="1:14" ht="31.5" x14ac:dyDescent="0.25">
      <c r="A1457" s="38">
        <v>22</v>
      </c>
      <c r="B1457" s="34" t="s">
        <v>984</v>
      </c>
      <c r="C1457" s="18">
        <v>22566000000</v>
      </c>
      <c r="D1457" s="32" t="s">
        <v>2566</v>
      </c>
      <c r="E1457" s="86">
        <v>3.8650000000000002</v>
      </c>
      <c r="F1457" s="86">
        <v>3.0000000000000001E-3</v>
      </c>
      <c r="G1457" s="86">
        <f t="shared" si="358"/>
        <v>3.8680000000000003</v>
      </c>
      <c r="H1457" s="86">
        <v>8532.5169999999998</v>
      </c>
      <c r="I1457" s="86"/>
      <c r="J1457" s="5">
        <f t="shared" si="356"/>
        <v>8532.5169999999998</v>
      </c>
      <c r="K1457" s="5">
        <f t="shared" si="357"/>
        <v>2205.9247673216132</v>
      </c>
      <c r="L1457" s="5">
        <f t="shared" si="353"/>
        <v>0.65034959359674993</v>
      </c>
      <c r="M1457" s="5">
        <f t="shared" si="354"/>
        <v>0</v>
      </c>
      <c r="N1457" s="5">
        <f t="shared" si="355"/>
        <v>2620.3000000000002</v>
      </c>
    </row>
    <row r="1458" spans="1:14" ht="31.5" x14ac:dyDescent="0.25">
      <c r="A1458" s="38">
        <v>22</v>
      </c>
      <c r="B1458" s="34" t="s">
        <v>985</v>
      </c>
      <c r="C1458" s="18">
        <v>22567000000</v>
      </c>
      <c r="D1458" s="32" t="s">
        <v>2567</v>
      </c>
      <c r="E1458" s="86">
        <v>18.984000000000002</v>
      </c>
      <c r="F1458" s="86">
        <v>7.6999999999999999E-2</v>
      </c>
      <c r="G1458" s="86">
        <f t="shared" si="358"/>
        <v>19.061000000000003</v>
      </c>
      <c r="H1458" s="86">
        <v>53559.883000000002</v>
      </c>
      <c r="I1458" s="86"/>
      <c r="J1458" s="5">
        <f t="shared" si="356"/>
        <v>53559.883000000002</v>
      </c>
      <c r="K1458" s="5">
        <f t="shared" si="357"/>
        <v>2809.9198887781331</v>
      </c>
      <c r="L1458" s="5">
        <f t="shared" si="353"/>
        <v>0.82841912143953589</v>
      </c>
      <c r="M1458" s="5">
        <f t="shared" si="354"/>
        <v>0</v>
      </c>
      <c r="N1458" s="5">
        <f t="shared" si="355"/>
        <v>3702.3</v>
      </c>
    </row>
    <row r="1459" spans="1:14" ht="15.75" x14ac:dyDescent="0.25">
      <c r="A1459" s="36">
        <v>23</v>
      </c>
      <c r="B1459" s="17" t="s">
        <v>7</v>
      </c>
      <c r="C1459" s="17" t="s">
        <v>820</v>
      </c>
      <c r="D1459" s="11" t="s">
        <v>24</v>
      </c>
      <c r="E1459" s="11">
        <f t="shared" ref="E1459:J1459" si="359">E1460+E1461+E1466</f>
        <v>1178.2659999999998</v>
      </c>
      <c r="F1459" s="11">
        <f t="shared" si="359"/>
        <v>10.827</v>
      </c>
      <c r="G1459" s="11">
        <f t="shared" si="359"/>
        <v>1188.665</v>
      </c>
      <c r="H1459" s="11">
        <f t="shared" si="359"/>
        <v>3892548.0409999993</v>
      </c>
      <c r="I1459" s="11">
        <f t="shared" si="359"/>
        <v>-6207.5733359999931</v>
      </c>
      <c r="J1459" s="11">
        <f t="shared" si="359"/>
        <v>3886340.4676639992</v>
      </c>
      <c r="K1459" s="11">
        <f t="shared" si="357"/>
        <v>3269.5002104579503</v>
      </c>
      <c r="L1459" s="11">
        <f t="shared" si="353"/>
        <v>0.96391235305705658</v>
      </c>
      <c r="M1459" s="11">
        <f>M1460+M1461+M1466</f>
        <v>155556.90000000002</v>
      </c>
      <c r="N1459" s="11">
        <f>N1460+N1461+N1466</f>
        <v>272186.40000000002</v>
      </c>
    </row>
    <row r="1460" spans="1:14" ht="15.75" x14ac:dyDescent="0.25">
      <c r="A1460" s="38">
        <v>23</v>
      </c>
      <c r="B1460" s="34" t="s">
        <v>6</v>
      </c>
      <c r="C1460" s="18" t="s">
        <v>206</v>
      </c>
      <c r="D1460" s="32" t="s">
        <v>862</v>
      </c>
      <c r="E1460" s="5">
        <v>0</v>
      </c>
      <c r="F1460" s="5">
        <v>0.42799999999999999</v>
      </c>
      <c r="G1460" s="5"/>
      <c r="H1460" s="49"/>
      <c r="I1460" s="49"/>
      <c r="J1460" s="5"/>
      <c r="K1460" s="5"/>
      <c r="L1460" s="5"/>
      <c r="M1460" s="5"/>
      <c r="N1460" s="5"/>
    </row>
    <row r="1461" spans="1:14" ht="15.75" x14ac:dyDescent="0.25">
      <c r="A1461" s="37">
        <v>23</v>
      </c>
      <c r="B1461" s="19" t="s">
        <v>5</v>
      </c>
      <c r="C1461" s="19" t="s">
        <v>821</v>
      </c>
      <c r="D1461" s="7" t="s">
        <v>2816</v>
      </c>
      <c r="E1461" s="7">
        <f t="shared" ref="E1461:J1461" si="360">SUM(E1462:E1465)</f>
        <v>0</v>
      </c>
      <c r="F1461" s="7">
        <f t="shared" si="360"/>
        <v>0</v>
      </c>
      <c r="G1461" s="7">
        <f t="shared" si="360"/>
        <v>0</v>
      </c>
      <c r="H1461" s="7">
        <f t="shared" si="360"/>
        <v>0</v>
      </c>
      <c r="I1461" s="7">
        <f t="shared" si="360"/>
        <v>0</v>
      </c>
      <c r="J1461" s="7">
        <f t="shared" si="360"/>
        <v>0</v>
      </c>
      <c r="K1461" s="7" t="e">
        <f>J1461/G1461</f>
        <v>#DIV/0!</v>
      </c>
      <c r="L1461" s="7" t="e">
        <f>K1461/$K$1659</f>
        <v>#DIV/0!</v>
      </c>
      <c r="M1461" s="7">
        <f>SUM(M1462:M1465)</f>
        <v>0</v>
      </c>
      <c r="N1461" s="7">
        <f>SUM(N1462:N1465)</f>
        <v>0</v>
      </c>
    </row>
    <row r="1462" spans="1:14" ht="15.75" x14ac:dyDescent="0.25">
      <c r="A1462" s="38">
        <v>23</v>
      </c>
      <c r="B1462" s="34" t="s">
        <v>4</v>
      </c>
      <c r="C1462" s="18" t="s">
        <v>207</v>
      </c>
      <c r="D1462" s="32" t="s">
        <v>963</v>
      </c>
      <c r="E1462" s="5"/>
      <c r="F1462" s="5"/>
      <c r="G1462" s="5"/>
      <c r="H1462" s="49"/>
      <c r="I1462" s="49"/>
      <c r="J1462" s="5"/>
      <c r="K1462" s="5"/>
      <c r="L1462" s="5"/>
      <c r="M1462" s="5"/>
      <c r="N1462" s="5"/>
    </row>
    <row r="1463" spans="1:14" ht="15.75" x14ac:dyDescent="0.25">
      <c r="A1463" s="38">
        <v>23</v>
      </c>
      <c r="B1463" s="34" t="s">
        <v>4</v>
      </c>
      <c r="C1463" s="18" t="s">
        <v>208</v>
      </c>
      <c r="D1463" s="32" t="s">
        <v>964</v>
      </c>
      <c r="E1463" s="5"/>
      <c r="F1463" s="5"/>
      <c r="G1463" s="5"/>
      <c r="H1463" s="49"/>
      <c r="I1463" s="49"/>
      <c r="J1463" s="5"/>
      <c r="K1463" s="5"/>
      <c r="L1463" s="5"/>
      <c r="M1463" s="5"/>
      <c r="N1463" s="5"/>
    </row>
    <row r="1464" spans="1:14" ht="15.75" x14ac:dyDescent="0.25">
      <c r="A1464" s="38">
        <v>23</v>
      </c>
      <c r="B1464" s="34" t="s">
        <v>4</v>
      </c>
      <c r="C1464" s="18" t="s">
        <v>209</v>
      </c>
      <c r="D1464" s="32" t="s">
        <v>965</v>
      </c>
      <c r="E1464" s="5"/>
      <c r="F1464" s="5"/>
      <c r="G1464" s="5"/>
      <c r="H1464" s="49"/>
      <c r="I1464" s="49"/>
      <c r="J1464" s="5"/>
      <c r="K1464" s="5"/>
      <c r="L1464" s="5"/>
      <c r="M1464" s="5"/>
      <c r="N1464" s="5"/>
    </row>
    <row r="1465" spans="1:14" ht="15.75" x14ac:dyDescent="0.25">
      <c r="A1465" s="38">
        <v>23</v>
      </c>
      <c r="B1465" s="34" t="s">
        <v>4</v>
      </c>
      <c r="C1465" s="18" t="s">
        <v>210</v>
      </c>
      <c r="D1465" s="32" t="s">
        <v>966</v>
      </c>
      <c r="E1465" s="5"/>
      <c r="F1465" s="5"/>
      <c r="G1465" s="5"/>
      <c r="H1465" s="49"/>
      <c r="I1465" s="49"/>
      <c r="J1465" s="5"/>
      <c r="K1465" s="5"/>
      <c r="L1465" s="5"/>
      <c r="M1465" s="5"/>
      <c r="N1465" s="5"/>
    </row>
    <row r="1466" spans="1:14" ht="31.5" x14ac:dyDescent="0.25">
      <c r="A1466" s="37">
        <v>23</v>
      </c>
      <c r="B1466" s="19" t="s">
        <v>28</v>
      </c>
      <c r="C1466" s="19" t="s">
        <v>822</v>
      </c>
      <c r="D1466" s="20" t="s">
        <v>2789</v>
      </c>
      <c r="E1466" s="7">
        <f t="shared" ref="E1466:J1466" si="361">SUM(E1467:E1532)</f>
        <v>1178.2659999999998</v>
      </c>
      <c r="F1466" s="7">
        <f t="shared" si="361"/>
        <v>10.398999999999999</v>
      </c>
      <c r="G1466" s="7">
        <f t="shared" si="361"/>
        <v>1188.665</v>
      </c>
      <c r="H1466" s="7">
        <f t="shared" si="361"/>
        <v>3892548.0409999993</v>
      </c>
      <c r="I1466" s="7">
        <f t="shared" si="361"/>
        <v>-6207.5733359999931</v>
      </c>
      <c r="J1466" s="7">
        <f t="shared" si="361"/>
        <v>3886340.4676639992</v>
      </c>
      <c r="K1466" s="7">
        <f t="shared" ref="K1466:K1477" si="362">J1466/G1466</f>
        <v>3269.5002104579503</v>
      </c>
      <c r="L1466" s="7">
        <f t="shared" ref="L1466:L1496" si="363">K1466/$K$1659</f>
        <v>0.96391235305705658</v>
      </c>
      <c r="M1466" s="7">
        <f>SUM(M1467:M1532)</f>
        <v>155556.90000000002</v>
      </c>
      <c r="N1466" s="7">
        <f>SUM(N1467:N1532)</f>
        <v>272186.40000000002</v>
      </c>
    </row>
    <row r="1467" spans="1:14" ht="15.75" x14ac:dyDescent="0.25">
      <c r="A1467" s="38">
        <v>23</v>
      </c>
      <c r="B1467" s="34" t="s">
        <v>984</v>
      </c>
      <c r="C1467" s="18" t="s">
        <v>211</v>
      </c>
      <c r="D1467" s="32" t="s">
        <v>2568</v>
      </c>
      <c r="E1467" s="5">
        <v>8.6980000000000004</v>
      </c>
      <c r="F1467" s="5">
        <v>6.6000000000000003E-2</v>
      </c>
      <c r="G1467" s="5">
        <f t="shared" ref="G1467:G1532" si="364">F1467+E1467</f>
        <v>8.7640000000000011</v>
      </c>
      <c r="H1467" s="49">
        <v>15153.212</v>
      </c>
      <c r="I1467" s="49"/>
      <c r="J1467" s="5">
        <f t="shared" ref="J1467:J1477" si="365">H1467+I1467</f>
        <v>15153.212</v>
      </c>
      <c r="K1467" s="5">
        <f t="shared" si="362"/>
        <v>1729.0292104062069</v>
      </c>
      <c r="L1467" s="5">
        <f t="shared" si="363"/>
        <v>0.50975149332490499</v>
      </c>
      <c r="M1467" s="5">
        <f t="shared" ref="M1467:M1497" si="366">ROUND(IF(L1467&lt;110%,0,(K1467-$K$1659*1.1)*0.5)*G1467,1)</f>
        <v>0</v>
      </c>
      <c r="N1467" s="5">
        <f t="shared" ref="N1467:N1497" si="367">ROUND(IF(L1467&gt;90%,0,(-K1467+$K$1659*0.9)*0.8)*G1467,1)</f>
        <v>9280.6</v>
      </c>
    </row>
    <row r="1468" spans="1:14" ht="15.75" x14ac:dyDescent="0.25">
      <c r="A1468" s="38">
        <v>23</v>
      </c>
      <c r="B1468" s="34" t="s">
        <v>985</v>
      </c>
      <c r="C1468" s="18" t="s">
        <v>212</v>
      </c>
      <c r="D1468" s="32" t="s">
        <v>2569</v>
      </c>
      <c r="E1468" s="5">
        <v>4.883</v>
      </c>
      <c r="F1468" s="5">
        <v>6.3E-2</v>
      </c>
      <c r="G1468" s="5">
        <f t="shared" si="364"/>
        <v>4.9459999999999997</v>
      </c>
      <c r="H1468" s="49">
        <v>26362.584999999999</v>
      </c>
      <c r="I1468" s="49"/>
      <c r="J1468" s="5">
        <f t="shared" si="365"/>
        <v>26362.584999999999</v>
      </c>
      <c r="K1468" s="5">
        <f t="shared" si="362"/>
        <v>5330.0818843509905</v>
      </c>
      <c r="L1468" s="5">
        <f t="shared" si="363"/>
        <v>1.5714119713764829</v>
      </c>
      <c r="M1468" s="5">
        <f t="shared" si="366"/>
        <v>3954.3</v>
      </c>
      <c r="N1468" s="5">
        <f t="shared" si="367"/>
        <v>0</v>
      </c>
    </row>
    <row r="1469" spans="1:14" ht="31.5" x14ac:dyDescent="0.25">
      <c r="A1469" s="38">
        <v>23</v>
      </c>
      <c r="B1469" s="34" t="s">
        <v>984</v>
      </c>
      <c r="C1469" s="18" t="s">
        <v>213</v>
      </c>
      <c r="D1469" s="32" t="s">
        <v>2570</v>
      </c>
      <c r="E1469" s="5">
        <v>4.8380000000000001</v>
      </c>
      <c r="F1469" s="5">
        <v>6.0000000000000001E-3</v>
      </c>
      <c r="G1469" s="5">
        <f t="shared" si="364"/>
        <v>4.8440000000000003</v>
      </c>
      <c r="H1469" s="49">
        <v>13643.725999999999</v>
      </c>
      <c r="I1469" s="49"/>
      <c r="J1469" s="5">
        <f t="shared" si="365"/>
        <v>13643.725999999999</v>
      </c>
      <c r="K1469" s="5">
        <f t="shared" si="362"/>
        <v>2816.6238645747312</v>
      </c>
      <c r="L1469" s="5">
        <f t="shared" si="363"/>
        <v>0.83039558410017944</v>
      </c>
      <c r="M1469" s="5">
        <f t="shared" si="366"/>
        <v>0</v>
      </c>
      <c r="N1469" s="5">
        <f t="shared" si="367"/>
        <v>914.9</v>
      </c>
    </row>
    <row r="1470" spans="1:14" ht="15.75" x14ac:dyDescent="0.25">
      <c r="A1470" s="38">
        <v>23</v>
      </c>
      <c r="B1470" s="34" t="s">
        <v>983</v>
      </c>
      <c r="C1470" s="18" t="s">
        <v>447</v>
      </c>
      <c r="D1470" s="32" t="s">
        <v>2571</v>
      </c>
      <c r="E1470" s="5">
        <v>31.216999999999999</v>
      </c>
      <c r="F1470" s="5">
        <v>0.16600000000000001</v>
      </c>
      <c r="G1470" s="5">
        <f t="shared" si="364"/>
        <v>31.382999999999999</v>
      </c>
      <c r="H1470" s="49">
        <v>87100.222999999998</v>
      </c>
      <c r="I1470" s="49"/>
      <c r="J1470" s="5">
        <f t="shared" si="365"/>
        <v>87100.222999999998</v>
      </c>
      <c r="K1470" s="5">
        <f t="shared" si="362"/>
        <v>2775.3950546474207</v>
      </c>
      <c r="L1470" s="5">
        <f t="shared" si="363"/>
        <v>0.81824052778188994</v>
      </c>
      <c r="M1470" s="5">
        <f t="shared" si="366"/>
        <v>0</v>
      </c>
      <c r="N1470" s="5">
        <f t="shared" si="367"/>
        <v>6962.5</v>
      </c>
    </row>
    <row r="1471" spans="1:14" ht="31.5" x14ac:dyDescent="0.25">
      <c r="A1471" s="38">
        <v>23</v>
      </c>
      <c r="B1471" s="34" t="s">
        <v>985</v>
      </c>
      <c r="C1471" s="18" t="s">
        <v>448</v>
      </c>
      <c r="D1471" s="32" t="s">
        <v>2572</v>
      </c>
      <c r="E1471" s="5">
        <v>7.2610000000000001</v>
      </c>
      <c r="F1471" s="5">
        <v>5.2999999999999999E-2</v>
      </c>
      <c r="G1471" s="5">
        <f t="shared" si="364"/>
        <v>7.3140000000000001</v>
      </c>
      <c r="H1471" s="49">
        <v>24577.363000000001</v>
      </c>
      <c r="I1471" s="49"/>
      <c r="J1471" s="5">
        <f t="shared" si="365"/>
        <v>24577.363000000001</v>
      </c>
      <c r="K1471" s="5">
        <f t="shared" si="362"/>
        <v>3360.3176100628934</v>
      </c>
      <c r="L1471" s="5">
        <f t="shared" si="363"/>
        <v>0.99068709161548052</v>
      </c>
      <c r="M1471" s="5">
        <f t="shared" si="366"/>
        <v>0</v>
      </c>
      <c r="N1471" s="5">
        <f t="shared" si="367"/>
        <v>0</v>
      </c>
    </row>
    <row r="1472" spans="1:14" ht="31.5" x14ac:dyDescent="0.25">
      <c r="A1472" s="38">
        <v>23</v>
      </c>
      <c r="B1472" s="34" t="s">
        <v>984</v>
      </c>
      <c r="C1472" s="18" t="s">
        <v>449</v>
      </c>
      <c r="D1472" s="32" t="s">
        <v>2573</v>
      </c>
      <c r="E1472" s="5">
        <v>6.2039999999999997</v>
      </c>
      <c r="F1472" s="5">
        <v>6.4000000000000001E-2</v>
      </c>
      <c r="G1472" s="5">
        <f t="shared" si="364"/>
        <v>6.2679999999999998</v>
      </c>
      <c r="H1472" s="49">
        <v>16147.236000000001</v>
      </c>
      <c r="I1472" s="49"/>
      <c r="J1472" s="5">
        <f t="shared" si="365"/>
        <v>16147.236000000001</v>
      </c>
      <c r="K1472" s="5">
        <f t="shared" si="362"/>
        <v>2576.1384811742187</v>
      </c>
      <c r="L1472" s="5">
        <f t="shared" si="363"/>
        <v>0.75949580833385588</v>
      </c>
      <c r="M1472" s="5">
        <f t="shared" si="366"/>
        <v>0</v>
      </c>
      <c r="N1472" s="5">
        <f t="shared" si="367"/>
        <v>2389.6999999999998</v>
      </c>
    </row>
    <row r="1473" spans="1:14" ht="31.5" x14ac:dyDescent="0.25">
      <c r="A1473" s="38">
        <v>23</v>
      </c>
      <c r="B1473" s="34" t="s">
        <v>984</v>
      </c>
      <c r="C1473" s="18" t="s">
        <v>501</v>
      </c>
      <c r="D1473" s="32" t="s">
        <v>2574</v>
      </c>
      <c r="E1473" s="5">
        <v>6.415</v>
      </c>
      <c r="F1473" s="5">
        <v>0.04</v>
      </c>
      <c r="G1473" s="5">
        <f t="shared" si="364"/>
        <v>6.4550000000000001</v>
      </c>
      <c r="H1473" s="49">
        <v>15083.759</v>
      </c>
      <c r="I1473" s="49"/>
      <c r="J1473" s="5">
        <f t="shared" si="365"/>
        <v>15083.759</v>
      </c>
      <c r="K1473" s="5">
        <f t="shared" si="362"/>
        <v>2336.7558481797055</v>
      </c>
      <c r="L1473" s="5">
        <f t="shared" si="363"/>
        <v>0.68892114486918665</v>
      </c>
      <c r="M1473" s="5">
        <f t="shared" si="366"/>
        <v>0</v>
      </c>
      <c r="N1473" s="5">
        <f t="shared" si="367"/>
        <v>3697.2</v>
      </c>
    </row>
    <row r="1474" spans="1:14" ht="31.5" x14ac:dyDescent="0.25">
      <c r="A1474" s="38">
        <v>23</v>
      </c>
      <c r="B1474" s="34" t="s">
        <v>984</v>
      </c>
      <c r="C1474" s="18" t="s">
        <v>502</v>
      </c>
      <c r="D1474" s="32" t="s">
        <v>3133</v>
      </c>
      <c r="E1474" s="5">
        <v>9.0350000000000001</v>
      </c>
      <c r="F1474" s="5">
        <v>0.06</v>
      </c>
      <c r="G1474" s="5">
        <f t="shared" si="364"/>
        <v>9.0950000000000006</v>
      </c>
      <c r="H1474" s="49">
        <v>18061.268</v>
      </c>
      <c r="I1474" s="49"/>
      <c r="J1474" s="5">
        <f t="shared" si="365"/>
        <v>18061.268</v>
      </c>
      <c r="K1474" s="5">
        <f t="shared" si="362"/>
        <v>1985.8458493677845</v>
      </c>
      <c r="L1474" s="5">
        <f t="shared" si="363"/>
        <v>0.58546604136923297</v>
      </c>
      <c r="M1474" s="5">
        <f t="shared" si="366"/>
        <v>0</v>
      </c>
      <c r="N1474" s="5">
        <f t="shared" si="367"/>
        <v>7762.5</v>
      </c>
    </row>
    <row r="1475" spans="1:14" s="75" customFormat="1" ht="15.75" x14ac:dyDescent="0.25">
      <c r="A1475" s="38">
        <v>23</v>
      </c>
      <c r="B1475" s="34" t="s">
        <v>983</v>
      </c>
      <c r="C1475" s="18" t="s">
        <v>503</v>
      </c>
      <c r="D1475" s="32" t="s">
        <v>3134</v>
      </c>
      <c r="E1475" s="5">
        <v>33.707000000000001</v>
      </c>
      <c r="F1475" s="5">
        <v>0.25900000000000001</v>
      </c>
      <c r="G1475" s="5">
        <f t="shared" si="364"/>
        <v>33.966000000000001</v>
      </c>
      <c r="H1475" s="49">
        <v>120522.09699999999</v>
      </c>
      <c r="I1475" s="49"/>
      <c r="J1475" s="5">
        <f t="shared" si="365"/>
        <v>120522.09699999999</v>
      </c>
      <c r="K1475" s="5">
        <f t="shared" si="362"/>
        <v>3548.3158746982272</v>
      </c>
      <c r="L1475" s="5">
        <f t="shared" si="363"/>
        <v>1.0461126423022951</v>
      </c>
      <c r="M1475" s="5">
        <f t="shared" si="366"/>
        <v>0</v>
      </c>
      <c r="N1475" s="5">
        <f t="shared" si="367"/>
        <v>0</v>
      </c>
    </row>
    <row r="1476" spans="1:14" ht="31.5" x14ac:dyDescent="0.25">
      <c r="A1476" s="38">
        <v>23</v>
      </c>
      <c r="B1476" s="34" t="s">
        <v>984</v>
      </c>
      <c r="C1476" s="18" t="s">
        <v>504</v>
      </c>
      <c r="D1476" s="32" t="s">
        <v>2577</v>
      </c>
      <c r="E1476" s="5">
        <v>6.9029999999999996</v>
      </c>
      <c r="F1476" s="5">
        <v>0.05</v>
      </c>
      <c r="G1476" s="5">
        <f t="shared" si="364"/>
        <v>6.9529999999999994</v>
      </c>
      <c r="H1476" s="49">
        <v>84948.210999999996</v>
      </c>
      <c r="I1476" s="49"/>
      <c r="J1476" s="5">
        <f t="shared" si="365"/>
        <v>84948.210999999996</v>
      </c>
      <c r="K1476" s="5">
        <f t="shared" si="362"/>
        <v>12217.490435783116</v>
      </c>
      <c r="L1476" s="5">
        <f t="shared" si="363"/>
        <v>3.6019541814797043</v>
      </c>
      <c r="M1476" s="5">
        <f t="shared" si="366"/>
        <v>29502.9</v>
      </c>
      <c r="N1476" s="5">
        <f t="shared" si="367"/>
        <v>0</v>
      </c>
    </row>
    <row r="1477" spans="1:14" ht="15.75" x14ac:dyDescent="0.25">
      <c r="A1477" s="38">
        <v>23</v>
      </c>
      <c r="B1477" s="34" t="s">
        <v>984</v>
      </c>
      <c r="C1477" s="18" t="s">
        <v>648</v>
      </c>
      <c r="D1477" s="32" t="s">
        <v>2578</v>
      </c>
      <c r="E1477" s="5">
        <v>5.2729999999999997</v>
      </c>
      <c r="F1477" s="5">
        <v>1.4999999999999999E-2</v>
      </c>
      <c r="G1477" s="5">
        <f t="shared" si="364"/>
        <v>5.2879999999999994</v>
      </c>
      <c r="H1477" s="49">
        <v>9417.9189999999999</v>
      </c>
      <c r="I1477" s="49"/>
      <c r="J1477" s="5">
        <f t="shared" si="365"/>
        <v>9417.9189999999999</v>
      </c>
      <c r="K1477" s="5">
        <f t="shared" si="362"/>
        <v>1780.9982980332832</v>
      </c>
      <c r="L1477" s="5">
        <f t="shared" si="363"/>
        <v>0.52507299273347274</v>
      </c>
      <c r="M1477" s="5">
        <f t="shared" si="366"/>
        <v>0</v>
      </c>
      <c r="N1477" s="5">
        <f t="shared" si="367"/>
        <v>5379.9</v>
      </c>
    </row>
    <row r="1478" spans="1:14" ht="15.75" x14ac:dyDescent="0.25">
      <c r="A1478" s="38">
        <v>23</v>
      </c>
      <c r="B1478" s="34" t="s">
        <v>983</v>
      </c>
      <c r="C1478" s="18" t="s">
        <v>649</v>
      </c>
      <c r="D1478" s="32" t="s">
        <v>2579</v>
      </c>
      <c r="E1478" s="5">
        <v>28.911999999999999</v>
      </c>
      <c r="F1478" s="5">
        <v>0.17299999999999999</v>
      </c>
      <c r="G1478" s="5">
        <f t="shared" si="364"/>
        <v>29.084999999999997</v>
      </c>
      <c r="H1478" s="49">
        <v>88599.83100000002</v>
      </c>
      <c r="I1478" s="49">
        <f>(-2514.1)*0.6</f>
        <v>-1508.4599999999998</v>
      </c>
      <c r="J1478" s="5">
        <f>H1478+I1478</f>
        <v>87091.371000000014</v>
      </c>
      <c r="K1478" s="5">
        <f>J1478/G1478</f>
        <v>2994.3741103661687</v>
      </c>
      <c r="L1478" s="5">
        <f t="shared" si="363"/>
        <v>0.88279981919680184</v>
      </c>
      <c r="M1478" s="5">
        <f t="shared" si="366"/>
        <v>0</v>
      </c>
      <c r="N1478" s="5">
        <f t="shared" si="367"/>
        <v>1357.5</v>
      </c>
    </row>
    <row r="1479" spans="1:14" ht="15.75" x14ac:dyDescent="0.25">
      <c r="A1479" s="38">
        <v>23</v>
      </c>
      <c r="B1479" s="34" t="s">
        <v>983</v>
      </c>
      <c r="C1479" s="18" t="s">
        <v>650</v>
      </c>
      <c r="D1479" s="32" t="s">
        <v>2580</v>
      </c>
      <c r="E1479" s="5">
        <v>19.457999999999998</v>
      </c>
      <c r="F1479" s="5">
        <v>0.14000000000000001</v>
      </c>
      <c r="G1479" s="5">
        <f t="shared" si="364"/>
        <v>19.597999999999999</v>
      </c>
      <c r="H1479" s="49">
        <v>53650.032999999996</v>
      </c>
      <c r="I1479" s="49"/>
      <c r="J1479" s="5">
        <f>H1479+I1479</f>
        <v>53650.032999999996</v>
      </c>
      <c r="K1479" s="5">
        <f>J1479/G1479</f>
        <v>2737.5259210123481</v>
      </c>
      <c r="L1479" s="5">
        <f t="shared" si="363"/>
        <v>0.80707596948222793</v>
      </c>
      <c r="M1479" s="5">
        <f t="shared" si="366"/>
        <v>0</v>
      </c>
      <c r="N1479" s="5">
        <f t="shared" si="367"/>
        <v>4941.7</v>
      </c>
    </row>
    <row r="1480" spans="1:14" s="75" customFormat="1" ht="15.75" x14ac:dyDescent="0.25">
      <c r="A1480" s="38">
        <v>23</v>
      </c>
      <c r="B1480" s="34" t="s">
        <v>984</v>
      </c>
      <c r="C1480" s="18" t="s">
        <v>651</v>
      </c>
      <c r="D1480" s="32" t="s">
        <v>2581</v>
      </c>
      <c r="E1480" s="5">
        <v>3.53</v>
      </c>
      <c r="F1480" s="5">
        <v>5.3999999999999999E-2</v>
      </c>
      <c r="G1480" s="5">
        <f t="shared" si="364"/>
        <v>3.5839999999999996</v>
      </c>
      <c r="H1480" s="49">
        <v>13630.083000000001</v>
      </c>
      <c r="I1480" s="49"/>
      <c r="J1480" s="5">
        <f>H1480+I1480</f>
        <v>13630.083000000001</v>
      </c>
      <c r="K1480" s="5">
        <f>J1480/G1480</f>
        <v>3803.0365513392862</v>
      </c>
      <c r="L1480" s="5">
        <f t="shared" si="363"/>
        <v>1.121209259824451</v>
      </c>
      <c r="M1480" s="5">
        <f t="shared" si="366"/>
        <v>128.9</v>
      </c>
      <c r="N1480" s="5">
        <f t="shared" si="367"/>
        <v>0</v>
      </c>
    </row>
    <row r="1481" spans="1:14" ht="31.5" x14ac:dyDescent="0.25">
      <c r="A1481" s="38">
        <v>23</v>
      </c>
      <c r="B1481" s="34" t="s">
        <v>984</v>
      </c>
      <c r="C1481" s="18" t="s">
        <v>652</v>
      </c>
      <c r="D1481" s="32" t="s">
        <v>2582</v>
      </c>
      <c r="E1481" s="5">
        <v>4.3099999999999996</v>
      </c>
      <c r="F1481" s="5">
        <v>3.5999999999999997E-2</v>
      </c>
      <c r="G1481" s="5">
        <f t="shared" si="364"/>
        <v>4.3459999999999992</v>
      </c>
      <c r="H1481" s="49">
        <v>11132.697</v>
      </c>
      <c r="I1481" s="49"/>
      <c r="J1481" s="5">
        <f t="shared" ref="J1481:J1489" si="368">H1481+I1481</f>
        <v>11132.697</v>
      </c>
      <c r="K1481" s="5">
        <f t="shared" ref="K1481:K1489" si="369">J1481/G1481</f>
        <v>2561.5961803957666</v>
      </c>
      <c r="L1481" s="5">
        <f t="shared" si="363"/>
        <v>0.75520845477523424</v>
      </c>
      <c r="M1481" s="5">
        <f t="shared" si="366"/>
        <v>0</v>
      </c>
      <c r="N1481" s="5">
        <f t="shared" si="367"/>
        <v>1707.5</v>
      </c>
    </row>
    <row r="1482" spans="1:14" ht="15.75" x14ac:dyDescent="0.25">
      <c r="A1482" s="38">
        <v>23</v>
      </c>
      <c r="B1482" s="34" t="s">
        <v>984</v>
      </c>
      <c r="C1482" s="18" t="s">
        <v>653</v>
      </c>
      <c r="D1482" s="32" t="s">
        <v>3135</v>
      </c>
      <c r="E1482" s="5">
        <v>14.789</v>
      </c>
      <c r="F1482" s="5">
        <v>8.8999999999999996E-2</v>
      </c>
      <c r="G1482" s="5">
        <f t="shared" si="364"/>
        <v>14.878</v>
      </c>
      <c r="H1482" s="49">
        <v>64394.44</v>
      </c>
      <c r="I1482" s="86">
        <f>(-13792)*0.6</f>
        <v>-8275.1999999999989</v>
      </c>
      <c r="J1482" s="5">
        <f t="shared" si="368"/>
        <v>56119.240000000005</v>
      </c>
      <c r="K1482" s="5">
        <f t="shared" si="369"/>
        <v>3771.9612851189681</v>
      </c>
      <c r="L1482" s="5">
        <f t="shared" si="363"/>
        <v>1.1120476659855854</v>
      </c>
      <c r="M1482" s="5">
        <f t="shared" si="366"/>
        <v>304</v>
      </c>
      <c r="N1482" s="5">
        <f t="shared" si="367"/>
        <v>0</v>
      </c>
    </row>
    <row r="1483" spans="1:14" ht="31.5" x14ac:dyDescent="0.25">
      <c r="A1483" s="38">
        <v>23</v>
      </c>
      <c r="B1483" s="34" t="s">
        <v>984</v>
      </c>
      <c r="C1483" s="18" t="s">
        <v>654</v>
      </c>
      <c r="D1483" s="32" t="s">
        <v>2584</v>
      </c>
      <c r="E1483" s="5">
        <v>7.1870000000000003</v>
      </c>
      <c r="F1483" s="5">
        <v>4.4999999999999998E-2</v>
      </c>
      <c r="G1483" s="5">
        <f t="shared" si="364"/>
        <v>7.2320000000000002</v>
      </c>
      <c r="H1483" s="49">
        <v>20420.419999999998</v>
      </c>
      <c r="I1483" s="49"/>
      <c r="J1483" s="5">
        <f t="shared" si="368"/>
        <v>20420.419999999998</v>
      </c>
      <c r="K1483" s="5">
        <f t="shared" si="369"/>
        <v>2823.6200221238937</v>
      </c>
      <c r="L1483" s="5">
        <f t="shared" si="363"/>
        <v>0.83245818763328239</v>
      </c>
      <c r="M1483" s="5">
        <f t="shared" si="366"/>
        <v>0</v>
      </c>
      <c r="N1483" s="5">
        <f t="shared" si="367"/>
        <v>1325.5</v>
      </c>
    </row>
    <row r="1484" spans="1:14" ht="15.75" x14ac:dyDescent="0.25">
      <c r="A1484" s="38">
        <v>23</v>
      </c>
      <c r="B1484" s="34" t="s">
        <v>984</v>
      </c>
      <c r="C1484" s="18" t="s">
        <v>655</v>
      </c>
      <c r="D1484" s="32" t="s">
        <v>2585</v>
      </c>
      <c r="E1484" s="5">
        <v>18.395</v>
      </c>
      <c r="F1484" s="5">
        <v>0.13500000000000001</v>
      </c>
      <c r="G1484" s="5">
        <f t="shared" si="364"/>
        <v>18.53</v>
      </c>
      <c r="H1484" s="49">
        <v>47375.197999999997</v>
      </c>
      <c r="I1484" s="86">
        <f>(9877.255)*0.6</f>
        <v>5926.3529999999992</v>
      </c>
      <c r="J1484" s="5">
        <f t="shared" si="368"/>
        <v>53301.550999999992</v>
      </c>
      <c r="K1484" s="5">
        <f t="shared" si="369"/>
        <v>2876.5003237992437</v>
      </c>
      <c r="L1484" s="5">
        <f t="shared" si="363"/>
        <v>0.84804833069405128</v>
      </c>
      <c r="M1484" s="5">
        <f t="shared" si="366"/>
        <v>0</v>
      </c>
      <c r="N1484" s="5">
        <f t="shared" si="367"/>
        <v>2612.1999999999998</v>
      </c>
    </row>
    <row r="1485" spans="1:14" ht="31.5" x14ac:dyDescent="0.25">
      <c r="A1485" s="38">
        <v>23</v>
      </c>
      <c r="B1485" s="34" t="s">
        <v>984</v>
      </c>
      <c r="C1485" s="18" t="s">
        <v>656</v>
      </c>
      <c r="D1485" s="32" t="s">
        <v>2586</v>
      </c>
      <c r="E1485" s="5">
        <v>3.79</v>
      </c>
      <c r="F1485" s="5">
        <v>0.04</v>
      </c>
      <c r="G1485" s="5">
        <f t="shared" si="364"/>
        <v>3.83</v>
      </c>
      <c r="H1485" s="49">
        <v>8971.6200000000008</v>
      </c>
      <c r="I1485" s="49"/>
      <c r="J1485" s="5">
        <f t="shared" si="368"/>
        <v>8971.6200000000008</v>
      </c>
      <c r="K1485" s="5">
        <f t="shared" si="369"/>
        <v>2342.4595300261099</v>
      </c>
      <c r="L1485" s="5">
        <f t="shared" si="363"/>
        <v>0.69060270138723523</v>
      </c>
      <c r="M1485" s="5">
        <f t="shared" si="366"/>
        <v>0</v>
      </c>
      <c r="N1485" s="5">
        <f t="shared" si="367"/>
        <v>2176.1999999999998</v>
      </c>
    </row>
    <row r="1486" spans="1:14" ht="15.75" x14ac:dyDescent="0.25">
      <c r="A1486" s="38">
        <v>23</v>
      </c>
      <c r="B1486" s="34" t="s">
        <v>984</v>
      </c>
      <c r="C1486" s="18" t="s">
        <v>657</v>
      </c>
      <c r="D1486" s="32" t="s">
        <v>2587</v>
      </c>
      <c r="E1486" s="5">
        <v>3.6970000000000001</v>
      </c>
      <c r="F1486" s="5">
        <v>2E-3</v>
      </c>
      <c r="G1486" s="5">
        <f t="shared" si="364"/>
        <v>3.6989999999999998</v>
      </c>
      <c r="H1486" s="49">
        <v>14261.505000000001</v>
      </c>
      <c r="I1486" s="49"/>
      <c r="J1486" s="5">
        <f t="shared" si="368"/>
        <v>14261.505000000001</v>
      </c>
      <c r="K1486" s="5">
        <f t="shared" si="369"/>
        <v>3855.502838605029</v>
      </c>
      <c r="L1486" s="5">
        <f t="shared" si="363"/>
        <v>1.1366773433721213</v>
      </c>
      <c r="M1486" s="5">
        <f t="shared" si="366"/>
        <v>230.1</v>
      </c>
      <c r="N1486" s="5">
        <f t="shared" si="367"/>
        <v>0</v>
      </c>
    </row>
    <row r="1487" spans="1:14" ht="31.5" x14ac:dyDescent="0.25">
      <c r="A1487" s="38">
        <v>23</v>
      </c>
      <c r="B1487" s="34" t="s">
        <v>984</v>
      </c>
      <c r="C1487" s="18" t="s">
        <v>722</v>
      </c>
      <c r="D1487" s="32" t="s">
        <v>1631</v>
      </c>
      <c r="E1487" s="5">
        <v>5.8860000000000001</v>
      </c>
      <c r="F1487" s="5">
        <v>2.3E-2</v>
      </c>
      <c r="G1487" s="5">
        <f t="shared" si="364"/>
        <v>5.9089999999999998</v>
      </c>
      <c r="H1487" s="49">
        <v>13890.781999999999</v>
      </c>
      <c r="I1487" s="5">
        <f>(851.125)*0.6</f>
        <v>510.67499999999995</v>
      </c>
      <c r="J1487" s="5">
        <f t="shared" si="368"/>
        <v>14401.456999999999</v>
      </c>
      <c r="K1487" s="5">
        <f t="shared" si="369"/>
        <v>2437.2071416483327</v>
      </c>
      <c r="L1487" s="5">
        <f t="shared" si="363"/>
        <v>0.71853614301026558</v>
      </c>
      <c r="M1487" s="5">
        <f t="shared" si="366"/>
        <v>0</v>
      </c>
      <c r="N1487" s="5">
        <f t="shared" si="367"/>
        <v>2909.6</v>
      </c>
    </row>
    <row r="1488" spans="1:14" ht="15.75" x14ac:dyDescent="0.25">
      <c r="A1488" s="38">
        <v>23</v>
      </c>
      <c r="B1488" s="34" t="s">
        <v>985</v>
      </c>
      <c r="C1488" s="18" t="s">
        <v>723</v>
      </c>
      <c r="D1488" s="32" t="s">
        <v>2588</v>
      </c>
      <c r="E1488" s="5">
        <v>5.1760000000000002</v>
      </c>
      <c r="F1488" s="5">
        <v>3.7999999999999999E-2</v>
      </c>
      <c r="G1488" s="5">
        <f t="shared" si="364"/>
        <v>5.2140000000000004</v>
      </c>
      <c r="H1488" s="49">
        <v>14068.1</v>
      </c>
      <c r="I1488" s="49"/>
      <c r="J1488" s="5">
        <f t="shared" si="368"/>
        <v>14068.1</v>
      </c>
      <c r="K1488" s="5">
        <f t="shared" si="369"/>
        <v>2698.1396240889912</v>
      </c>
      <c r="L1488" s="5">
        <f t="shared" si="363"/>
        <v>0.79546412189030524</v>
      </c>
      <c r="M1488" s="5">
        <f t="shared" si="366"/>
        <v>0</v>
      </c>
      <c r="N1488" s="5">
        <f t="shared" si="367"/>
        <v>1479</v>
      </c>
    </row>
    <row r="1489" spans="1:14" ht="31.5" x14ac:dyDescent="0.25">
      <c r="A1489" s="38">
        <v>23</v>
      </c>
      <c r="B1489" s="34" t="s">
        <v>984</v>
      </c>
      <c r="C1489" s="18">
        <v>23527000000</v>
      </c>
      <c r="D1489" s="32" t="s">
        <v>2589</v>
      </c>
      <c r="E1489" s="5">
        <v>9.5190000000000001</v>
      </c>
      <c r="F1489" s="5">
        <v>7.5999999999999998E-2</v>
      </c>
      <c r="G1489" s="5">
        <f t="shared" si="364"/>
        <v>9.5950000000000006</v>
      </c>
      <c r="H1489" s="49">
        <v>25964.475000000002</v>
      </c>
      <c r="I1489" s="49">
        <f>(5900.6)*0.6</f>
        <v>3540.36</v>
      </c>
      <c r="J1489" s="5">
        <f t="shared" si="368"/>
        <v>29504.835000000003</v>
      </c>
      <c r="K1489" s="5">
        <f t="shared" si="369"/>
        <v>3075.0218863991663</v>
      </c>
      <c r="L1489" s="5">
        <f t="shared" si="363"/>
        <v>0.90657635461837216</v>
      </c>
      <c r="M1489" s="5">
        <f t="shared" si="366"/>
        <v>0</v>
      </c>
      <c r="N1489" s="5">
        <f t="shared" si="367"/>
        <v>0</v>
      </c>
    </row>
    <row r="1490" spans="1:14" ht="31.5" x14ac:dyDescent="0.25">
      <c r="A1490" s="38">
        <v>23</v>
      </c>
      <c r="B1490" s="34" t="s">
        <v>984</v>
      </c>
      <c r="C1490" s="18">
        <v>23529000000</v>
      </c>
      <c r="D1490" s="32" t="s">
        <v>2590</v>
      </c>
      <c r="E1490" s="5">
        <v>5.4950000000000001</v>
      </c>
      <c r="F1490" s="5">
        <v>3.3000000000000002E-2</v>
      </c>
      <c r="G1490" s="5">
        <f t="shared" si="364"/>
        <v>5.5280000000000005</v>
      </c>
      <c r="H1490" s="49">
        <v>15996.716</v>
      </c>
      <c r="I1490" s="49">
        <f>(-5900.6)*0.6</f>
        <v>-3540.36</v>
      </c>
      <c r="J1490" s="5">
        <f t="shared" ref="J1490:J1497" si="370">H1490+I1490</f>
        <v>12456.356</v>
      </c>
      <c r="K1490" s="5">
        <f t="shared" ref="K1490:K1497" si="371">J1490/G1490</f>
        <v>2253.320549927641</v>
      </c>
      <c r="L1490" s="5">
        <f t="shared" si="363"/>
        <v>0.66432279359552215</v>
      </c>
      <c r="M1490" s="5">
        <f t="shared" si="366"/>
        <v>0</v>
      </c>
      <c r="N1490" s="5">
        <f t="shared" si="367"/>
        <v>3535.2</v>
      </c>
    </row>
    <row r="1491" spans="1:14" ht="15.75" x14ac:dyDescent="0.25">
      <c r="A1491" s="38">
        <v>23</v>
      </c>
      <c r="B1491" s="34" t="s">
        <v>984</v>
      </c>
      <c r="C1491" s="18">
        <v>23530000000</v>
      </c>
      <c r="D1491" s="32" t="s">
        <v>2591</v>
      </c>
      <c r="E1491" s="5">
        <v>4.4649999999999999</v>
      </c>
      <c r="F1491" s="5">
        <v>4.7E-2</v>
      </c>
      <c r="G1491" s="5">
        <f t="shared" si="364"/>
        <v>4.5119999999999996</v>
      </c>
      <c r="H1491" s="49">
        <v>14157.991999999998</v>
      </c>
      <c r="I1491" s="49"/>
      <c r="J1491" s="5">
        <f t="shared" si="370"/>
        <v>14157.991999999998</v>
      </c>
      <c r="K1491" s="5">
        <f t="shared" si="371"/>
        <v>3137.8528368794327</v>
      </c>
      <c r="L1491" s="5">
        <f t="shared" si="363"/>
        <v>0.92510014278896913</v>
      </c>
      <c r="M1491" s="5">
        <f t="shared" si="366"/>
        <v>0</v>
      </c>
      <c r="N1491" s="5">
        <f t="shared" si="367"/>
        <v>0</v>
      </c>
    </row>
    <row r="1492" spans="1:14" ht="15.75" x14ac:dyDescent="0.25">
      <c r="A1492" s="38">
        <v>23</v>
      </c>
      <c r="B1492" s="34" t="s">
        <v>984</v>
      </c>
      <c r="C1492" s="18">
        <v>23531000000</v>
      </c>
      <c r="D1492" s="32" t="s">
        <v>2592</v>
      </c>
      <c r="E1492" s="5">
        <v>3.476</v>
      </c>
      <c r="F1492" s="5">
        <v>1.7000000000000001E-2</v>
      </c>
      <c r="G1492" s="5">
        <f t="shared" si="364"/>
        <v>3.4929999999999999</v>
      </c>
      <c r="H1492" s="49">
        <v>9453.482</v>
      </c>
      <c r="I1492" s="49"/>
      <c r="J1492" s="5">
        <f t="shared" si="370"/>
        <v>9453.482</v>
      </c>
      <c r="K1492" s="5">
        <f t="shared" si="371"/>
        <v>2706.4076724878328</v>
      </c>
      <c r="L1492" s="5">
        <f t="shared" si="363"/>
        <v>0.79790170362277457</v>
      </c>
      <c r="M1492" s="5">
        <f t="shared" si="366"/>
        <v>0</v>
      </c>
      <c r="N1492" s="5">
        <f t="shared" si="367"/>
        <v>967.7</v>
      </c>
    </row>
    <row r="1493" spans="1:14" ht="31.5" x14ac:dyDescent="0.25">
      <c r="A1493" s="38">
        <v>23</v>
      </c>
      <c r="B1493" s="34" t="s">
        <v>984</v>
      </c>
      <c r="C1493" s="18">
        <v>23532000000</v>
      </c>
      <c r="D1493" s="32" t="s">
        <v>2593</v>
      </c>
      <c r="E1493" s="5">
        <v>3.161</v>
      </c>
      <c r="F1493" s="5">
        <v>1.2E-2</v>
      </c>
      <c r="G1493" s="5">
        <f t="shared" si="364"/>
        <v>3.173</v>
      </c>
      <c r="H1493" s="49">
        <v>9408.7369999999992</v>
      </c>
      <c r="I1493" s="49"/>
      <c r="J1493" s="5">
        <f t="shared" si="370"/>
        <v>9408.7369999999992</v>
      </c>
      <c r="K1493" s="5">
        <f t="shared" si="371"/>
        <v>2965.2496060510557</v>
      </c>
      <c r="L1493" s="5">
        <f t="shared" si="363"/>
        <v>0.87421334796911876</v>
      </c>
      <c r="M1493" s="5">
        <f t="shared" si="366"/>
        <v>0</v>
      </c>
      <c r="N1493" s="5">
        <f t="shared" si="367"/>
        <v>222</v>
      </c>
    </row>
    <row r="1494" spans="1:14" ht="31.5" x14ac:dyDescent="0.25">
      <c r="A1494" s="38">
        <v>23</v>
      </c>
      <c r="B1494" s="34" t="s">
        <v>985</v>
      </c>
      <c r="C1494" s="18">
        <v>23533000000</v>
      </c>
      <c r="D1494" s="32" t="s">
        <v>1864</v>
      </c>
      <c r="E1494" s="5">
        <v>9.1449999999999996</v>
      </c>
      <c r="F1494" s="5">
        <v>2.4E-2</v>
      </c>
      <c r="G1494" s="5">
        <f t="shared" si="364"/>
        <v>9.1689999999999987</v>
      </c>
      <c r="H1494" s="49">
        <v>16583.721000000001</v>
      </c>
      <c r="I1494" s="49"/>
      <c r="J1494" s="5">
        <f t="shared" si="370"/>
        <v>16583.721000000001</v>
      </c>
      <c r="K1494" s="5">
        <f t="shared" si="371"/>
        <v>1808.6728105573131</v>
      </c>
      <c r="L1494" s="5">
        <f t="shared" si="363"/>
        <v>0.5332319781347945</v>
      </c>
      <c r="M1494" s="5">
        <f t="shared" si="366"/>
        <v>0</v>
      </c>
      <c r="N1494" s="5">
        <f t="shared" si="367"/>
        <v>9125.2999999999993</v>
      </c>
    </row>
    <row r="1495" spans="1:14" ht="31.5" x14ac:dyDescent="0.25">
      <c r="A1495" s="38">
        <v>23</v>
      </c>
      <c r="B1495" s="34" t="s">
        <v>984</v>
      </c>
      <c r="C1495" s="18">
        <v>23534000000</v>
      </c>
      <c r="D1495" s="32" t="s">
        <v>2594</v>
      </c>
      <c r="E1495" s="5">
        <v>5.83</v>
      </c>
      <c r="F1495" s="5">
        <v>2.3E-2</v>
      </c>
      <c r="G1495" s="5">
        <f t="shared" si="364"/>
        <v>5.8529999999999998</v>
      </c>
      <c r="H1495" s="49">
        <v>15771.152</v>
      </c>
      <c r="I1495" s="49"/>
      <c r="J1495" s="5">
        <f t="shared" si="370"/>
        <v>15771.152</v>
      </c>
      <c r="K1495" s="5">
        <f t="shared" si="371"/>
        <v>2694.5416025969589</v>
      </c>
      <c r="L1495" s="5">
        <f t="shared" si="363"/>
        <v>0.79440335506372994</v>
      </c>
      <c r="M1495" s="5">
        <f t="shared" si="366"/>
        <v>0</v>
      </c>
      <c r="N1495" s="5">
        <f t="shared" si="367"/>
        <v>1677.1</v>
      </c>
    </row>
    <row r="1496" spans="1:14" ht="31.5" x14ac:dyDescent="0.25">
      <c r="A1496" s="38">
        <v>23</v>
      </c>
      <c r="B1496" s="34" t="s">
        <v>984</v>
      </c>
      <c r="C1496" s="18">
        <v>23535000000</v>
      </c>
      <c r="D1496" s="32" t="s">
        <v>2595</v>
      </c>
      <c r="E1496" s="5">
        <v>9.5350000000000001</v>
      </c>
      <c r="F1496" s="5">
        <v>5.8999999999999997E-2</v>
      </c>
      <c r="G1496" s="5">
        <f t="shared" si="364"/>
        <v>9.5939999999999994</v>
      </c>
      <c r="H1496" s="49">
        <v>25542.659</v>
      </c>
      <c r="I1496" s="49">
        <f>(-7993.099)*0.6</f>
        <v>-4795.8594000000003</v>
      </c>
      <c r="J1496" s="5">
        <f t="shared" si="370"/>
        <v>20746.799599999998</v>
      </c>
      <c r="K1496" s="5">
        <f t="shared" si="371"/>
        <v>2162.4765061496769</v>
      </c>
      <c r="L1496" s="5">
        <f t="shared" si="363"/>
        <v>0.63754019981585375</v>
      </c>
      <c r="M1496" s="5">
        <f t="shared" si="366"/>
        <v>0</v>
      </c>
      <c r="N1496" s="5">
        <f t="shared" si="367"/>
        <v>6832.8</v>
      </c>
    </row>
    <row r="1497" spans="1:14" ht="31.5" x14ac:dyDescent="0.25">
      <c r="A1497" s="38">
        <v>23</v>
      </c>
      <c r="B1497" s="34" t="s">
        <v>984</v>
      </c>
      <c r="C1497" s="18">
        <v>23536000000</v>
      </c>
      <c r="D1497" s="32" t="s">
        <v>2596</v>
      </c>
      <c r="E1497" s="5">
        <v>10.337</v>
      </c>
      <c r="F1497" s="5">
        <v>0.04</v>
      </c>
      <c r="G1497" s="5">
        <f t="shared" si="364"/>
        <v>10.376999999999999</v>
      </c>
      <c r="H1497" s="49">
        <v>26275.357</v>
      </c>
      <c r="I1497" s="49"/>
      <c r="J1497" s="5">
        <f t="shared" si="370"/>
        <v>26275.357</v>
      </c>
      <c r="K1497" s="5">
        <f t="shared" si="371"/>
        <v>2532.0764190035657</v>
      </c>
      <c r="L1497" s="5">
        <f t="shared" ref="L1497:L1528" si="372">K1497/$K$1659</f>
        <v>0.74650545406147872</v>
      </c>
      <c r="M1497" s="5">
        <f t="shared" si="366"/>
        <v>0</v>
      </c>
      <c r="N1497" s="5">
        <f t="shared" si="367"/>
        <v>4322.1000000000004</v>
      </c>
    </row>
    <row r="1498" spans="1:14" ht="31.5" x14ac:dyDescent="0.25">
      <c r="A1498" s="38">
        <v>23</v>
      </c>
      <c r="B1498" s="34" t="s">
        <v>984</v>
      </c>
      <c r="C1498" s="18">
        <v>23538000000</v>
      </c>
      <c r="D1498" s="32" t="s">
        <v>2597</v>
      </c>
      <c r="E1498" s="5">
        <v>8.2070000000000007</v>
      </c>
      <c r="F1498" s="5">
        <v>4.1000000000000002E-2</v>
      </c>
      <c r="G1498" s="5">
        <f t="shared" si="364"/>
        <v>8.2480000000000011</v>
      </c>
      <c r="H1498" s="49">
        <v>14027.198</v>
      </c>
      <c r="I1498" s="49"/>
      <c r="J1498" s="5">
        <f t="shared" ref="J1498:J1532" si="373">H1498+I1498</f>
        <v>14027.198</v>
      </c>
      <c r="K1498" s="5">
        <f t="shared" ref="K1498:K1533" si="374">J1498/G1498</f>
        <v>1700.6787099903004</v>
      </c>
      <c r="L1498" s="5">
        <f t="shared" si="372"/>
        <v>0.50139321352457622</v>
      </c>
      <c r="M1498" s="5">
        <f t="shared" ref="M1498:M1529" si="375">ROUND(IF(L1498&lt;110%,0,(K1498-$K$1659*1.1)*0.5)*G1498,1)</f>
        <v>0</v>
      </c>
      <c r="N1498" s="5">
        <f t="shared" ref="N1498:N1532" si="376">ROUND(IF(L1498&gt;90%,0,(-K1498+$K$1659*0.9)*0.8)*G1498,1)</f>
        <v>8921.2999999999993</v>
      </c>
    </row>
    <row r="1499" spans="1:14" ht="31.5" x14ac:dyDescent="0.25">
      <c r="A1499" s="38">
        <v>23</v>
      </c>
      <c r="B1499" s="34" t="s">
        <v>984</v>
      </c>
      <c r="C1499" s="18">
        <v>23539000000</v>
      </c>
      <c r="D1499" s="32" t="s">
        <v>3136</v>
      </c>
      <c r="E1499" s="5">
        <v>3.1480000000000001</v>
      </c>
      <c r="F1499" s="5">
        <v>4.9000000000000002E-2</v>
      </c>
      <c r="G1499" s="5">
        <f t="shared" si="364"/>
        <v>3.1970000000000001</v>
      </c>
      <c r="H1499" s="49">
        <v>9024.1139999999996</v>
      </c>
      <c r="I1499" s="49"/>
      <c r="J1499" s="5">
        <f t="shared" si="373"/>
        <v>9024.1139999999996</v>
      </c>
      <c r="K1499" s="5">
        <f t="shared" si="374"/>
        <v>2822.6818892711917</v>
      </c>
      <c r="L1499" s="5">
        <f t="shared" si="372"/>
        <v>0.83218160779314787</v>
      </c>
      <c r="M1499" s="5">
        <f t="shared" si="375"/>
        <v>0</v>
      </c>
      <c r="N1499" s="5">
        <f t="shared" si="376"/>
        <v>588.29999999999995</v>
      </c>
    </row>
    <row r="1500" spans="1:14" ht="31.5" x14ac:dyDescent="0.25">
      <c r="A1500" s="38">
        <v>23</v>
      </c>
      <c r="B1500" s="34" t="s">
        <v>985</v>
      </c>
      <c r="C1500" s="18">
        <v>23540000000</v>
      </c>
      <c r="D1500" s="32" t="s">
        <v>2599</v>
      </c>
      <c r="E1500" s="5">
        <v>13.898999999999999</v>
      </c>
      <c r="F1500" s="5">
        <v>8.8999999999999996E-2</v>
      </c>
      <c r="G1500" s="5">
        <f t="shared" si="364"/>
        <v>13.988</v>
      </c>
      <c r="H1500" s="49">
        <v>33209.798999999999</v>
      </c>
      <c r="I1500" s="49"/>
      <c r="J1500" s="5">
        <f t="shared" si="373"/>
        <v>33209.798999999999</v>
      </c>
      <c r="K1500" s="5">
        <f t="shared" si="374"/>
        <v>2374.1634972833858</v>
      </c>
      <c r="L1500" s="5">
        <f t="shared" si="372"/>
        <v>0.69994964853911323</v>
      </c>
      <c r="M1500" s="5">
        <f t="shared" si="375"/>
        <v>0</v>
      </c>
      <c r="N1500" s="5">
        <f t="shared" si="376"/>
        <v>7593.3</v>
      </c>
    </row>
    <row r="1501" spans="1:14" ht="31.5" x14ac:dyDescent="0.25">
      <c r="A1501" s="38">
        <v>23</v>
      </c>
      <c r="B1501" s="34" t="s">
        <v>984</v>
      </c>
      <c r="C1501" s="18">
        <v>23542000000</v>
      </c>
      <c r="D1501" s="32" t="s">
        <v>2600</v>
      </c>
      <c r="E1501" s="5">
        <v>3.6930000000000001</v>
      </c>
      <c r="F1501" s="5">
        <v>1.9E-2</v>
      </c>
      <c r="G1501" s="5">
        <f t="shared" si="364"/>
        <v>3.7120000000000002</v>
      </c>
      <c r="H1501" s="49">
        <v>6401.2480000000005</v>
      </c>
      <c r="I1501" s="49"/>
      <c r="J1501" s="5">
        <f t="shared" si="373"/>
        <v>6401.2480000000005</v>
      </c>
      <c r="K1501" s="5">
        <f t="shared" si="374"/>
        <v>1724.4741379310344</v>
      </c>
      <c r="L1501" s="5">
        <f t="shared" si="372"/>
        <v>0.50840856922481026</v>
      </c>
      <c r="M1501" s="5">
        <f t="shared" si="375"/>
        <v>0</v>
      </c>
      <c r="N1501" s="5">
        <f t="shared" si="376"/>
        <v>3944.3</v>
      </c>
    </row>
    <row r="1502" spans="1:14" ht="31.5" x14ac:dyDescent="0.25">
      <c r="A1502" s="38">
        <v>23</v>
      </c>
      <c r="B1502" s="34" t="s">
        <v>984</v>
      </c>
      <c r="C1502" s="18">
        <v>23546000000</v>
      </c>
      <c r="D1502" s="32" t="s">
        <v>2601</v>
      </c>
      <c r="E1502" s="5">
        <v>13.792999999999999</v>
      </c>
      <c r="F1502" s="5">
        <v>0.105</v>
      </c>
      <c r="G1502" s="5">
        <f t="shared" si="364"/>
        <v>13.898</v>
      </c>
      <c r="H1502" s="49">
        <v>32015.135000000002</v>
      </c>
      <c r="I1502" s="49"/>
      <c r="J1502" s="5">
        <f t="shared" si="373"/>
        <v>32015.135000000002</v>
      </c>
      <c r="K1502" s="5">
        <f t="shared" si="374"/>
        <v>2303.5785724564689</v>
      </c>
      <c r="L1502" s="5">
        <f t="shared" si="372"/>
        <v>0.6791398376809763</v>
      </c>
      <c r="M1502" s="5">
        <f t="shared" si="375"/>
        <v>0</v>
      </c>
      <c r="N1502" s="5">
        <f t="shared" si="376"/>
        <v>8329.2000000000007</v>
      </c>
    </row>
    <row r="1503" spans="1:14" ht="31.5" x14ac:dyDescent="0.25">
      <c r="A1503" s="38">
        <v>23</v>
      </c>
      <c r="B1503" s="34" t="s">
        <v>984</v>
      </c>
      <c r="C1503" s="18">
        <v>23547000000</v>
      </c>
      <c r="D1503" s="32" t="s">
        <v>2602</v>
      </c>
      <c r="E1503" s="5">
        <v>5.1260000000000003</v>
      </c>
      <c r="F1503" s="5">
        <v>6.4000000000000001E-2</v>
      </c>
      <c r="G1503" s="5">
        <f t="shared" si="364"/>
        <v>5.19</v>
      </c>
      <c r="H1503" s="49">
        <v>11282.754000000001</v>
      </c>
      <c r="I1503" s="49"/>
      <c r="J1503" s="5">
        <f t="shared" si="373"/>
        <v>11282.754000000001</v>
      </c>
      <c r="K1503" s="5">
        <f t="shared" si="374"/>
        <v>2173.9410404624277</v>
      </c>
      <c r="L1503" s="5">
        <f t="shared" si="372"/>
        <v>0.64092016786441341</v>
      </c>
      <c r="M1503" s="5">
        <f t="shared" si="375"/>
        <v>0</v>
      </c>
      <c r="N1503" s="5">
        <f t="shared" si="376"/>
        <v>3648.7</v>
      </c>
    </row>
    <row r="1504" spans="1:14" ht="15.75" x14ac:dyDescent="0.25">
      <c r="A1504" s="38">
        <v>23</v>
      </c>
      <c r="B1504" s="34" t="s">
        <v>984</v>
      </c>
      <c r="C1504" s="18">
        <v>23549000000</v>
      </c>
      <c r="D1504" s="32" t="s">
        <v>2603</v>
      </c>
      <c r="E1504" s="5">
        <v>5.3680000000000003</v>
      </c>
      <c r="F1504" s="5">
        <v>2.4E-2</v>
      </c>
      <c r="G1504" s="5">
        <f t="shared" si="364"/>
        <v>5.3920000000000003</v>
      </c>
      <c r="H1504" s="49">
        <v>10764.181</v>
      </c>
      <c r="I1504" s="49"/>
      <c r="J1504" s="5">
        <f t="shared" si="373"/>
        <v>10764.181</v>
      </c>
      <c r="K1504" s="5">
        <f t="shared" si="374"/>
        <v>1996.3243694362018</v>
      </c>
      <c r="L1504" s="5">
        <f t="shared" si="372"/>
        <v>0.5885553132106589</v>
      </c>
      <c r="M1504" s="5">
        <f t="shared" si="375"/>
        <v>0</v>
      </c>
      <c r="N1504" s="5">
        <f t="shared" si="376"/>
        <v>4556.8</v>
      </c>
    </row>
    <row r="1505" spans="1:14" ht="31.5" x14ac:dyDescent="0.25">
      <c r="A1505" s="38">
        <v>23</v>
      </c>
      <c r="B1505" s="34" t="s">
        <v>984</v>
      </c>
      <c r="C1505" s="18">
        <v>23551000000</v>
      </c>
      <c r="D1505" s="32" t="s">
        <v>2604</v>
      </c>
      <c r="E1505" s="5">
        <v>14.282</v>
      </c>
      <c r="F1505" s="5">
        <v>0.12</v>
      </c>
      <c r="G1505" s="5">
        <f t="shared" si="364"/>
        <v>14.401999999999999</v>
      </c>
      <c r="H1505" s="49">
        <v>47819.069000000003</v>
      </c>
      <c r="I1505" s="49"/>
      <c r="J1505" s="5">
        <f t="shared" si="373"/>
        <v>47819.069000000003</v>
      </c>
      <c r="K1505" s="5">
        <f t="shared" si="374"/>
        <v>3320.3075267323989</v>
      </c>
      <c r="L1505" s="5">
        <f t="shared" si="372"/>
        <v>0.97889133963915509</v>
      </c>
      <c r="M1505" s="5">
        <f t="shared" si="375"/>
        <v>0</v>
      </c>
      <c r="N1505" s="5">
        <f t="shared" si="376"/>
        <v>0</v>
      </c>
    </row>
    <row r="1506" spans="1:14" ht="31.5" x14ac:dyDescent="0.25">
      <c r="A1506" s="38">
        <v>23</v>
      </c>
      <c r="B1506" s="34" t="s">
        <v>983</v>
      </c>
      <c r="C1506" s="18">
        <v>23552000000</v>
      </c>
      <c r="D1506" s="32" t="s">
        <v>2605</v>
      </c>
      <c r="E1506" s="5">
        <v>19.138999999999999</v>
      </c>
      <c r="F1506" s="5">
        <v>0.19700000000000001</v>
      </c>
      <c r="G1506" s="5">
        <f t="shared" si="364"/>
        <v>19.335999999999999</v>
      </c>
      <c r="H1506" s="49">
        <v>50321.547999999995</v>
      </c>
      <c r="I1506" s="49"/>
      <c r="J1506" s="5">
        <f t="shared" si="373"/>
        <v>50321.547999999995</v>
      </c>
      <c r="K1506" s="5">
        <f t="shared" si="374"/>
        <v>2602.4797269342157</v>
      </c>
      <c r="L1506" s="5">
        <f t="shared" si="372"/>
        <v>0.76726172072063525</v>
      </c>
      <c r="M1506" s="5">
        <f t="shared" si="375"/>
        <v>0</v>
      </c>
      <c r="N1506" s="5">
        <f t="shared" si="376"/>
        <v>6964.6</v>
      </c>
    </row>
    <row r="1507" spans="1:14" ht="31.5" x14ac:dyDescent="0.25">
      <c r="A1507" s="38">
        <v>23</v>
      </c>
      <c r="B1507" s="34" t="s">
        <v>984</v>
      </c>
      <c r="C1507" s="18">
        <v>23553000000</v>
      </c>
      <c r="D1507" s="32" t="s">
        <v>2069</v>
      </c>
      <c r="E1507" s="5">
        <v>4.6420000000000003</v>
      </c>
      <c r="F1507" s="5">
        <v>1.2999999999999999E-2</v>
      </c>
      <c r="G1507" s="5">
        <f t="shared" si="364"/>
        <v>4.6550000000000002</v>
      </c>
      <c r="H1507" s="49">
        <v>9996.6310000000012</v>
      </c>
      <c r="I1507" s="49"/>
      <c r="J1507" s="5">
        <f t="shared" si="373"/>
        <v>9996.6310000000012</v>
      </c>
      <c r="K1507" s="5">
        <f t="shared" si="374"/>
        <v>2147.5039742212675</v>
      </c>
      <c r="L1507" s="5">
        <f t="shared" si="372"/>
        <v>0.63312600573317057</v>
      </c>
      <c r="M1507" s="5">
        <f t="shared" si="375"/>
        <v>0</v>
      </c>
      <c r="N1507" s="5">
        <f t="shared" si="376"/>
        <v>3371</v>
      </c>
    </row>
    <row r="1508" spans="1:14" ht="15.75" x14ac:dyDescent="0.25">
      <c r="A1508" s="38">
        <v>23</v>
      </c>
      <c r="B1508" s="34" t="s">
        <v>986</v>
      </c>
      <c r="C1508" s="18">
        <v>23554000000</v>
      </c>
      <c r="D1508" s="32" t="s">
        <v>3137</v>
      </c>
      <c r="E1508" s="5">
        <v>26.888000000000002</v>
      </c>
      <c r="F1508" s="5">
        <v>0.314</v>
      </c>
      <c r="G1508" s="5">
        <f t="shared" si="364"/>
        <v>27.202000000000002</v>
      </c>
      <c r="H1508" s="49">
        <v>119349.442</v>
      </c>
      <c r="I1508" s="49"/>
      <c r="J1508" s="5">
        <f t="shared" si="373"/>
        <v>119349.442</v>
      </c>
      <c r="K1508" s="5">
        <f t="shared" si="374"/>
        <v>4387.5245202558635</v>
      </c>
      <c r="L1508" s="5">
        <f t="shared" si="372"/>
        <v>1.2935276990922693</v>
      </c>
      <c r="M1508" s="5">
        <f t="shared" si="375"/>
        <v>8928.1</v>
      </c>
      <c r="N1508" s="5">
        <f t="shared" si="376"/>
        <v>0</v>
      </c>
    </row>
    <row r="1509" spans="1:14" s="75" customFormat="1" ht="31.5" x14ac:dyDescent="0.25">
      <c r="A1509" s="38">
        <v>23</v>
      </c>
      <c r="B1509" s="34" t="s">
        <v>985</v>
      </c>
      <c r="C1509" s="18">
        <v>23555000000</v>
      </c>
      <c r="D1509" s="32" t="s">
        <v>3138</v>
      </c>
      <c r="E1509" s="86">
        <v>15.815</v>
      </c>
      <c r="F1509" s="86">
        <v>8.8999999999999996E-2</v>
      </c>
      <c r="G1509" s="86">
        <f t="shared" ref="G1509:G1531" si="377">F1509+E1509</f>
        <v>15.904</v>
      </c>
      <c r="H1509" s="86">
        <v>48290.339</v>
      </c>
      <c r="I1509" s="86"/>
      <c r="J1509" s="5">
        <f t="shared" si="373"/>
        <v>48290.339</v>
      </c>
      <c r="K1509" s="5">
        <f t="shared" si="374"/>
        <v>3036.3643737424545</v>
      </c>
      <c r="L1509" s="5">
        <f t="shared" si="372"/>
        <v>0.89517936682523036</v>
      </c>
      <c r="M1509" s="5">
        <f t="shared" si="375"/>
        <v>0</v>
      </c>
      <c r="N1509" s="5">
        <f t="shared" si="376"/>
        <v>208</v>
      </c>
    </row>
    <row r="1510" spans="1:14" s="75" customFormat="1" ht="31.5" x14ac:dyDescent="0.25">
      <c r="A1510" s="38">
        <v>23</v>
      </c>
      <c r="B1510" s="34" t="s">
        <v>984</v>
      </c>
      <c r="C1510" s="18">
        <v>23556000000</v>
      </c>
      <c r="D1510" s="32" t="s">
        <v>3139</v>
      </c>
      <c r="E1510" s="86">
        <v>4.0259999999999998</v>
      </c>
      <c r="F1510" s="86">
        <v>2.1999999999999999E-2</v>
      </c>
      <c r="G1510" s="86">
        <f t="shared" si="377"/>
        <v>4.048</v>
      </c>
      <c r="H1510" s="86">
        <v>11593.853000000001</v>
      </c>
      <c r="I1510" s="86"/>
      <c r="J1510" s="5">
        <f t="shared" si="373"/>
        <v>11593.853000000001</v>
      </c>
      <c r="K1510" s="5">
        <f t="shared" si="374"/>
        <v>2864.09412055336</v>
      </c>
      <c r="L1510" s="5">
        <f t="shared" si="372"/>
        <v>0.84439074029996197</v>
      </c>
      <c r="M1510" s="5">
        <f t="shared" si="375"/>
        <v>0</v>
      </c>
      <c r="N1510" s="5">
        <f t="shared" si="376"/>
        <v>610.79999999999995</v>
      </c>
    </row>
    <row r="1511" spans="1:14" s="75" customFormat="1" ht="31.5" x14ac:dyDescent="0.25">
      <c r="A1511" s="38">
        <v>23</v>
      </c>
      <c r="B1511" s="34" t="s">
        <v>984</v>
      </c>
      <c r="C1511" s="18">
        <v>23557000000</v>
      </c>
      <c r="D1511" s="32" t="s">
        <v>3140</v>
      </c>
      <c r="E1511" s="86">
        <v>3.9359999999999999</v>
      </c>
      <c r="F1511" s="86">
        <v>2.5000000000000001E-2</v>
      </c>
      <c r="G1511" s="86">
        <f t="shared" si="377"/>
        <v>3.9609999999999999</v>
      </c>
      <c r="H1511" s="86">
        <v>10660.68</v>
      </c>
      <c r="I1511" s="86"/>
      <c r="J1511" s="5">
        <f t="shared" si="373"/>
        <v>10660.68</v>
      </c>
      <c r="K1511" s="5">
        <f t="shared" si="374"/>
        <v>2691.4112597828835</v>
      </c>
      <c r="L1511" s="5">
        <f t="shared" si="372"/>
        <v>0.79348046902196145</v>
      </c>
      <c r="M1511" s="5">
        <f t="shared" si="375"/>
        <v>0</v>
      </c>
      <c r="N1511" s="5">
        <f t="shared" si="376"/>
        <v>1144.9000000000001</v>
      </c>
    </row>
    <row r="1512" spans="1:14" s="75" customFormat="1" ht="15.75" x14ac:dyDescent="0.25">
      <c r="A1512" s="38">
        <v>23</v>
      </c>
      <c r="B1512" s="34" t="s">
        <v>985</v>
      </c>
      <c r="C1512" s="18">
        <v>23558000000</v>
      </c>
      <c r="D1512" s="80" t="s">
        <v>2610</v>
      </c>
      <c r="E1512" s="86">
        <v>6.5659999999999998</v>
      </c>
      <c r="F1512" s="86">
        <v>4.2999999999999997E-2</v>
      </c>
      <c r="G1512" s="86">
        <f t="shared" si="377"/>
        <v>6.609</v>
      </c>
      <c r="H1512" s="86">
        <v>17836.866999999998</v>
      </c>
      <c r="I1512" s="86"/>
      <c r="J1512" s="5">
        <f t="shared" si="373"/>
        <v>17836.866999999998</v>
      </c>
      <c r="K1512" s="5">
        <f t="shared" si="374"/>
        <v>2698.8753215312449</v>
      </c>
      <c r="L1512" s="5">
        <f t="shared" si="372"/>
        <v>0.79568101982792661</v>
      </c>
      <c r="M1512" s="5">
        <f t="shared" si="375"/>
        <v>0</v>
      </c>
      <c r="N1512" s="5">
        <f t="shared" si="376"/>
        <v>1870.8</v>
      </c>
    </row>
    <row r="1513" spans="1:14" s="75" customFormat="1" ht="31.5" x14ac:dyDescent="0.25">
      <c r="A1513" s="38">
        <v>23</v>
      </c>
      <c r="B1513" s="34" t="s">
        <v>984</v>
      </c>
      <c r="C1513" s="18">
        <v>23559000000</v>
      </c>
      <c r="D1513" s="80" t="s">
        <v>2611</v>
      </c>
      <c r="E1513" s="86">
        <v>4.8490000000000002</v>
      </c>
      <c r="F1513" s="86">
        <v>0.10199999999999999</v>
      </c>
      <c r="G1513" s="86">
        <f t="shared" si="377"/>
        <v>4.9510000000000005</v>
      </c>
      <c r="H1513" s="86">
        <v>18401.792000000001</v>
      </c>
      <c r="I1513" s="86"/>
      <c r="J1513" s="5">
        <f t="shared" si="373"/>
        <v>18401.792000000001</v>
      </c>
      <c r="K1513" s="5">
        <f t="shared" si="374"/>
        <v>3716.782872147041</v>
      </c>
      <c r="L1513" s="5">
        <f t="shared" si="372"/>
        <v>1.095779994946569</v>
      </c>
      <c r="M1513" s="5">
        <f t="shared" si="375"/>
        <v>0</v>
      </c>
      <c r="N1513" s="5">
        <f t="shared" si="376"/>
        <v>0</v>
      </c>
    </row>
    <row r="1514" spans="1:14" s="75" customFormat="1" ht="15.75" x14ac:dyDescent="0.25">
      <c r="A1514" s="38">
        <v>23</v>
      </c>
      <c r="B1514" s="34" t="s">
        <v>986</v>
      </c>
      <c r="C1514" s="18">
        <v>23560000000</v>
      </c>
      <c r="D1514" s="80" t="s">
        <v>2612</v>
      </c>
      <c r="E1514" s="86">
        <v>20.899000000000001</v>
      </c>
      <c r="F1514" s="86">
        <v>0.255</v>
      </c>
      <c r="G1514" s="86">
        <f t="shared" si="377"/>
        <v>21.154</v>
      </c>
      <c r="H1514" s="86">
        <v>28048.440999999999</v>
      </c>
      <c r="I1514" s="86"/>
      <c r="J1514" s="5">
        <f t="shared" si="373"/>
        <v>28048.440999999999</v>
      </c>
      <c r="K1514" s="5">
        <f t="shared" si="374"/>
        <v>1325.9166587879361</v>
      </c>
      <c r="L1514" s="5">
        <f t="shared" si="372"/>
        <v>0.39090606033354997</v>
      </c>
      <c r="M1514" s="5">
        <f t="shared" si="375"/>
        <v>0</v>
      </c>
      <c r="N1514" s="5">
        <f t="shared" si="376"/>
        <v>29223</v>
      </c>
    </row>
    <row r="1515" spans="1:14" s="75" customFormat="1" ht="31.5" x14ac:dyDescent="0.25">
      <c r="A1515" s="38">
        <v>23</v>
      </c>
      <c r="B1515" s="34" t="s">
        <v>984</v>
      </c>
      <c r="C1515" s="18">
        <v>23561000000</v>
      </c>
      <c r="D1515" s="80" t="s">
        <v>2613</v>
      </c>
      <c r="E1515" s="86">
        <v>5.024</v>
      </c>
      <c r="F1515" s="86">
        <v>1.7000000000000001E-2</v>
      </c>
      <c r="G1515" s="86">
        <f t="shared" si="377"/>
        <v>5.0410000000000004</v>
      </c>
      <c r="H1515" s="86">
        <v>14746.342000000002</v>
      </c>
      <c r="I1515" s="86"/>
      <c r="J1515" s="5">
        <f t="shared" si="373"/>
        <v>14746.342000000002</v>
      </c>
      <c r="K1515" s="5">
        <f t="shared" si="374"/>
        <v>2925.2810950208295</v>
      </c>
      <c r="L1515" s="5">
        <f t="shared" si="372"/>
        <v>0.8624298523167554</v>
      </c>
      <c r="M1515" s="5">
        <f t="shared" si="375"/>
        <v>0</v>
      </c>
      <c r="N1515" s="5">
        <f t="shared" si="376"/>
        <v>513.9</v>
      </c>
    </row>
    <row r="1516" spans="1:14" s="75" customFormat="1" ht="31.5" x14ac:dyDescent="0.25">
      <c r="A1516" s="38">
        <v>23</v>
      </c>
      <c r="B1516" s="34" t="s">
        <v>984</v>
      </c>
      <c r="C1516" s="18">
        <v>23562000000</v>
      </c>
      <c r="D1516" s="80" t="s">
        <v>2614</v>
      </c>
      <c r="E1516" s="86">
        <v>8.1669999999999998</v>
      </c>
      <c r="F1516" s="86">
        <v>2.8000000000000001E-2</v>
      </c>
      <c r="G1516" s="86">
        <f t="shared" si="377"/>
        <v>8.1950000000000003</v>
      </c>
      <c r="H1516" s="86">
        <v>26354.635999999999</v>
      </c>
      <c r="I1516" s="86"/>
      <c r="J1516" s="5">
        <f t="shared" si="373"/>
        <v>26354.635999999999</v>
      </c>
      <c r="K1516" s="5">
        <f t="shared" si="374"/>
        <v>3215.9409395973153</v>
      </c>
      <c r="L1516" s="5">
        <f t="shared" si="372"/>
        <v>0.94812203665390704</v>
      </c>
      <c r="M1516" s="5">
        <f t="shared" si="375"/>
        <v>0</v>
      </c>
      <c r="N1516" s="5">
        <f t="shared" si="376"/>
        <v>0</v>
      </c>
    </row>
    <row r="1517" spans="1:14" s="75" customFormat="1" ht="31.5" x14ac:dyDescent="0.25">
      <c r="A1517" s="38">
        <v>23</v>
      </c>
      <c r="B1517" s="34" t="s">
        <v>983</v>
      </c>
      <c r="C1517" s="18">
        <v>23563000000</v>
      </c>
      <c r="D1517" s="80" t="s">
        <v>2615</v>
      </c>
      <c r="E1517" s="86">
        <v>22.866</v>
      </c>
      <c r="F1517" s="86">
        <v>3.4000000000000002E-2</v>
      </c>
      <c r="G1517" s="86">
        <f t="shared" si="377"/>
        <v>22.9</v>
      </c>
      <c r="H1517" s="86">
        <v>58992.993000000002</v>
      </c>
      <c r="I1517" s="86"/>
      <c r="J1517" s="5">
        <f t="shared" si="373"/>
        <v>58992.993000000002</v>
      </c>
      <c r="K1517" s="5">
        <f t="shared" si="374"/>
        <v>2576.1132314410484</v>
      </c>
      <c r="L1517" s="5">
        <f t="shared" si="372"/>
        <v>0.75948836422064359</v>
      </c>
      <c r="M1517" s="5">
        <f t="shared" si="375"/>
        <v>0</v>
      </c>
      <c r="N1517" s="5">
        <f t="shared" si="376"/>
        <v>8731.4</v>
      </c>
    </row>
    <row r="1518" spans="1:14" s="75" customFormat="1" ht="31.5" x14ac:dyDescent="0.25">
      <c r="A1518" s="38">
        <v>23</v>
      </c>
      <c r="B1518" s="34" t="s">
        <v>983</v>
      </c>
      <c r="C1518" s="18">
        <v>23564000000</v>
      </c>
      <c r="D1518" s="80" t="s">
        <v>2616</v>
      </c>
      <c r="E1518" s="86">
        <v>27.434000000000001</v>
      </c>
      <c r="F1518" s="86">
        <v>0.157</v>
      </c>
      <c r="G1518" s="86">
        <f t="shared" si="377"/>
        <v>27.591000000000001</v>
      </c>
      <c r="H1518" s="86">
        <v>75698.465999999986</v>
      </c>
      <c r="I1518" s="86"/>
      <c r="J1518" s="5">
        <f t="shared" si="373"/>
        <v>75698.465999999986</v>
      </c>
      <c r="K1518" s="5">
        <f t="shared" si="374"/>
        <v>2743.5926932695438</v>
      </c>
      <c r="L1518" s="5">
        <f t="shared" si="372"/>
        <v>0.80886457212650664</v>
      </c>
      <c r="M1518" s="5">
        <f t="shared" si="375"/>
        <v>0</v>
      </c>
      <c r="N1518" s="5">
        <f t="shared" si="376"/>
        <v>6823.2</v>
      </c>
    </row>
    <row r="1519" spans="1:14" s="75" customFormat="1" ht="15.75" x14ac:dyDescent="0.25">
      <c r="A1519" s="38">
        <v>23</v>
      </c>
      <c r="B1519" s="34" t="s">
        <v>986</v>
      </c>
      <c r="C1519" s="18">
        <v>23565000000</v>
      </c>
      <c r="D1519" s="80" t="s">
        <v>2617</v>
      </c>
      <c r="E1519" s="86">
        <v>35.338999999999999</v>
      </c>
      <c r="F1519" s="86">
        <v>0.46700000000000003</v>
      </c>
      <c r="G1519" s="86">
        <f t="shared" si="377"/>
        <v>35.805999999999997</v>
      </c>
      <c r="H1519" s="86">
        <v>116914.80300000001</v>
      </c>
      <c r="I1519" s="86"/>
      <c r="J1519" s="5">
        <f t="shared" si="373"/>
        <v>116914.80300000001</v>
      </c>
      <c r="K1519" s="5">
        <f t="shared" si="374"/>
        <v>3265.2293749650903</v>
      </c>
      <c r="L1519" s="5">
        <f t="shared" si="372"/>
        <v>0.96265322755638394</v>
      </c>
      <c r="M1519" s="5">
        <f t="shared" si="375"/>
        <v>0</v>
      </c>
      <c r="N1519" s="5">
        <f t="shared" si="376"/>
        <v>0</v>
      </c>
    </row>
    <row r="1520" spans="1:14" s="75" customFormat="1" ht="31.5" x14ac:dyDescent="0.25">
      <c r="A1520" s="38">
        <v>23</v>
      </c>
      <c r="B1520" s="34" t="s">
        <v>985</v>
      </c>
      <c r="C1520" s="18">
        <v>23566000000</v>
      </c>
      <c r="D1520" s="80" t="s">
        <v>2618</v>
      </c>
      <c r="E1520" s="86">
        <v>12.989000000000001</v>
      </c>
      <c r="F1520" s="86">
        <v>9.6000000000000002E-2</v>
      </c>
      <c r="G1520" s="86">
        <f t="shared" si="377"/>
        <v>13.085000000000001</v>
      </c>
      <c r="H1520" s="86">
        <v>35127.233</v>
      </c>
      <c r="I1520" s="86"/>
      <c r="J1520" s="5">
        <f t="shared" si="373"/>
        <v>35127.233</v>
      </c>
      <c r="K1520" s="5">
        <f t="shared" si="374"/>
        <v>2684.5420710737485</v>
      </c>
      <c r="L1520" s="5">
        <f t="shared" si="372"/>
        <v>0.79145529837629636</v>
      </c>
      <c r="M1520" s="5">
        <f t="shared" si="375"/>
        <v>0</v>
      </c>
      <c r="N1520" s="5">
        <f t="shared" si="376"/>
        <v>3854</v>
      </c>
    </row>
    <row r="1521" spans="1:14" s="75" customFormat="1" ht="31.5" x14ac:dyDescent="0.25">
      <c r="A1521" s="38">
        <v>23</v>
      </c>
      <c r="B1521" s="34" t="s">
        <v>983</v>
      </c>
      <c r="C1521" s="18">
        <v>23567000000</v>
      </c>
      <c r="D1521" s="80" t="s">
        <v>2619</v>
      </c>
      <c r="E1521" s="86">
        <v>20.733000000000001</v>
      </c>
      <c r="F1521" s="86">
        <v>0.15</v>
      </c>
      <c r="G1521" s="86">
        <f t="shared" si="377"/>
        <v>20.882999999999999</v>
      </c>
      <c r="H1521" s="86">
        <v>63004.059000000001</v>
      </c>
      <c r="I1521" s="86"/>
      <c r="J1521" s="5">
        <f t="shared" si="373"/>
        <v>63004.059000000001</v>
      </c>
      <c r="K1521" s="5">
        <f t="shared" si="374"/>
        <v>3017.0022985203277</v>
      </c>
      <c r="L1521" s="5">
        <f t="shared" si="372"/>
        <v>0.88947104986971193</v>
      </c>
      <c r="M1521" s="5">
        <f t="shared" si="375"/>
        <v>0</v>
      </c>
      <c r="N1521" s="5">
        <f t="shared" si="376"/>
        <v>596.6</v>
      </c>
    </row>
    <row r="1522" spans="1:14" s="75" customFormat="1" ht="31.5" x14ac:dyDescent="0.25">
      <c r="A1522" s="38">
        <v>23</v>
      </c>
      <c r="B1522" s="34" t="s">
        <v>985</v>
      </c>
      <c r="C1522" s="18">
        <v>23568000000</v>
      </c>
      <c r="D1522" s="80" t="s">
        <v>2620</v>
      </c>
      <c r="E1522" s="86">
        <v>17.911999999999999</v>
      </c>
      <c r="F1522" s="86">
        <v>0.14099999999999999</v>
      </c>
      <c r="G1522" s="86">
        <f t="shared" si="377"/>
        <v>18.052999999999997</v>
      </c>
      <c r="H1522" s="86">
        <v>56351.525000000001</v>
      </c>
      <c r="I1522" s="86">
        <f>(190.9)*0.6</f>
        <v>114.54</v>
      </c>
      <c r="J1522" s="5">
        <f t="shared" si="373"/>
        <v>56466.065000000002</v>
      </c>
      <c r="K1522" s="5">
        <f t="shared" si="374"/>
        <v>3127.7939954578192</v>
      </c>
      <c r="L1522" s="5">
        <f t="shared" si="372"/>
        <v>0.92213460038810857</v>
      </c>
      <c r="M1522" s="5">
        <f t="shared" si="375"/>
        <v>0</v>
      </c>
      <c r="N1522" s="5">
        <f t="shared" si="376"/>
        <v>0</v>
      </c>
    </row>
    <row r="1523" spans="1:14" s="75" customFormat="1" ht="31.5" x14ac:dyDescent="0.25">
      <c r="A1523" s="38">
        <v>23</v>
      </c>
      <c r="B1523" s="34" t="s">
        <v>983</v>
      </c>
      <c r="C1523" s="18">
        <v>23569000000</v>
      </c>
      <c r="D1523" s="80" t="s">
        <v>2621</v>
      </c>
      <c r="E1523" s="86">
        <v>34.412999999999997</v>
      </c>
      <c r="F1523" s="86">
        <v>0.224</v>
      </c>
      <c r="G1523" s="86">
        <f t="shared" si="377"/>
        <v>34.636999999999993</v>
      </c>
      <c r="H1523" s="86">
        <v>69175.683999999994</v>
      </c>
      <c r="I1523" s="86">
        <f>(-3806.4)*0.6</f>
        <v>-2283.84</v>
      </c>
      <c r="J1523" s="5">
        <f t="shared" si="373"/>
        <v>66891.843999999997</v>
      </c>
      <c r="K1523" s="5">
        <f t="shared" si="374"/>
        <v>1931.2251061004131</v>
      </c>
      <c r="L1523" s="5">
        <f t="shared" si="372"/>
        <v>0.56936278222272174</v>
      </c>
      <c r="M1523" s="5">
        <f t="shared" si="375"/>
        <v>0</v>
      </c>
      <c r="N1523" s="5">
        <f t="shared" si="376"/>
        <v>31076.1</v>
      </c>
    </row>
    <row r="1524" spans="1:14" s="75" customFormat="1" ht="31.5" x14ac:dyDescent="0.25">
      <c r="A1524" s="38">
        <v>23</v>
      </c>
      <c r="B1524" s="34" t="s">
        <v>984</v>
      </c>
      <c r="C1524" s="18">
        <v>23570000000</v>
      </c>
      <c r="D1524" s="80" t="s">
        <v>2622</v>
      </c>
      <c r="E1524" s="86">
        <v>14.702</v>
      </c>
      <c r="F1524" s="86">
        <v>0.107</v>
      </c>
      <c r="G1524" s="86">
        <f t="shared" si="377"/>
        <v>14.808999999999999</v>
      </c>
      <c r="H1524" s="86">
        <v>19220.578000000001</v>
      </c>
      <c r="I1524" s="86"/>
      <c r="J1524" s="5">
        <f t="shared" si="373"/>
        <v>19220.578000000001</v>
      </c>
      <c r="K1524" s="5">
        <f t="shared" si="374"/>
        <v>1297.8984401377543</v>
      </c>
      <c r="L1524" s="5">
        <f t="shared" si="372"/>
        <v>0.38264574367072246</v>
      </c>
      <c r="M1524" s="5">
        <f t="shared" si="375"/>
        <v>0</v>
      </c>
      <c r="N1524" s="5">
        <f t="shared" si="376"/>
        <v>20789.7</v>
      </c>
    </row>
    <row r="1525" spans="1:14" s="75" customFormat="1" ht="31.5" x14ac:dyDescent="0.25">
      <c r="A1525" s="38">
        <v>23</v>
      </c>
      <c r="B1525" s="34" t="s">
        <v>984</v>
      </c>
      <c r="C1525" s="18">
        <v>23571000000</v>
      </c>
      <c r="D1525" s="80" t="s">
        <v>2623</v>
      </c>
      <c r="E1525" s="86">
        <v>10.032</v>
      </c>
      <c r="F1525" s="86">
        <v>7.5999999999999998E-2</v>
      </c>
      <c r="G1525" s="86">
        <f t="shared" si="377"/>
        <v>10.108000000000001</v>
      </c>
      <c r="H1525" s="86">
        <v>37692.830999999998</v>
      </c>
      <c r="I1525" s="86"/>
      <c r="J1525" s="5">
        <f t="shared" si="373"/>
        <v>37692.830999999998</v>
      </c>
      <c r="K1525" s="5">
        <f t="shared" si="374"/>
        <v>3729.0097942223979</v>
      </c>
      <c r="L1525" s="5">
        <f t="shared" si="372"/>
        <v>1.0993847297591268</v>
      </c>
      <c r="M1525" s="5">
        <f t="shared" si="375"/>
        <v>0</v>
      </c>
      <c r="N1525" s="5">
        <f t="shared" si="376"/>
        <v>0</v>
      </c>
    </row>
    <row r="1526" spans="1:14" s="75" customFormat="1" ht="15.75" x14ac:dyDescent="0.25">
      <c r="A1526" s="38">
        <v>23</v>
      </c>
      <c r="B1526" s="34" t="s">
        <v>984</v>
      </c>
      <c r="C1526" s="18">
        <v>23572000000</v>
      </c>
      <c r="D1526" s="80" t="s">
        <v>1270</v>
      </c>
      <c r="E1526" s="86">
        <v>6.7220000000000004</v>
      </c>
      <c r="F1526" s="86">
        <v>2.1999999999999999E-2</v>
      </c>
      <c r="G1526" s="86">
        <f t="shared" si="377"/>
        <v>6.7440000000000007</v>
      </c>
      <c r="H1526" s="86">
        <v>14501.968999999999</v>
      </c>
      <c r="I1526" s="86"/>
      <c r="J1526" s="5">
        <f t="shared" si="373"/>
        <v>14501.968999999999</v>
      </c>
      <c r="K1526" s="5">
        <f t="shared" si="374"/>
        <v>2150.3512752075917</v>
      </c>
      <c r="L1526" s="5">
        <f t="shared" si="372"/>
        <v>0.6339654455303636</v>
      </c>
      <c r="M1526" s="5">
        <f t="shared" si="375"/>
        <v>0</v>
      </c>
      <c r="N1526" s="5">
        <f t="shared" si="376"/>
        <v>4868.3999999999996</v>
      </c>
    </row>
    <row r="1527" spans="1:14" s="75" customFormat="1" ht="15.75" x14ac:dyDescent="0.25">
      <c r="A1527" s="38">
        <v>23</v>
      </c>
      <c r="B1527" s="34" t="s">
        <v>986</v>
      </c>
      <c r="C1527" s="18">
        <v>23573000000</v>
      </c>
      <c r="D1527" s="80" t="s">
        <v>2624</v>
      </c>
      <c r="E1527" s="86">
        <v>66.480999999999995</v>
      </c>
      <c r="F1527" s="86">
        <v>0.46200000000000002</v>
      </c>
      <c r="G1527" s="86">
        <f t="shared" si="377"/>
        <v>66.942999999999998</v>
      </c>
      <c r="H1527" s="86">
        <v>178403.538</v>
      </c>
      <c r="I1527" s="86"/>
      <c r="J1527" s="5">
        <f t="shared" si="373"/>
        <v>178403.538</v>
      </c>
      <c r="K1527" s="5">
        <f t="shared" si="374"/>
        <v>2665.0066175701718</v>
      </c>
      <c r="L1527" s="5">
        <f t="shared" si="372"/>
        <v>0.78569586612593667</v>
      </c>
      <c r="M1527" s="5">
        <f t="shared" si="375"/>
        <v>0</v>
      </c>
      <c r="N1527" s="5">
        <f t="shared" si="376"/>
        <v>20763.5</v>
      </c>
    </row>
    <row r="1528" spans="1:14" s="75" customFormat="1" ht="15.75" x14ac:dyDescent="0.25">
      <c r="A1528" s="38">
        <v>23</v>
      </c>
      <c r="B1528" s="34" t="s">
        <v>986</v>
      </c>
      <c r="C1528" s="18">
        <v>23574000000</v>
      </c>
      <c r="D1528" s="80" t="s">
        <v>2625</v>
      </c>
      <c r="E1528" s="86">
        <v>83.191000000000003</v>
      </c>
      <c r="F1528" s="86">
        <v>0.71599999999999997</v>
      </c>
      <c r="G1528" s="86">
        <f t="shared" si="377"/>
        <v>83.906999999999996</v>
      </c>
      <c r="H1528" s="86">
        <v>244007.84899999999</v>
      </c>
      <c r="I1528" s="86">
        <f>(86.11944+2514.1+3806.4+13792+1101.4+815.6+7993.099)*0.6</f>
        <v>18065.231064000003</v>
      </c>
      <c r="J1528" s="5">
        <f t="shared" si="373"/>
        <v>262073.08006399998</v>
      </c>
      <c r="K1528" s="5">
        <f t="shared" si="374"/>
        <v>3123.3756428426709</v>
      </c>
      <c r="L1528" s="5">
        <f t="shared" si="372"/>
        <v>0.92083198396609989</v>
      </c>
      <c r="M1528" s="5">
        <f t="shared" si="375"/>
        <v>0</v>
      </c>
      <c r="N1528" s="5">
        <f t="shared" si="376"/>
        <v>0</v>
      </c>
    </row>
    <row r="1529" spans="1:14" s="75" customFormat="1" ht="31.5" x14ac:dyDescent="0.25">
      <c r="A1529" s="38">
        <v>23</v>
      </c>
      <c r="B1529" s="34" t="s">
        <v>983</v>
      </c>
      <c r="C1529" s="18">
        <v>23575000000</v>
      </c>
      <c r="D1529" s="80" t="s">
        <v>2626</v>
      </c>
      <c r="E1529" s="86">
        <v>32.241</v>
      </c>
      <c r="F1529" s="86">
        <v>0.14399999999999999</v>
      </c>
      <c r="G1529" s="86">
        <f t="shared" si="377"/>
        <v>32.384999999999998</v>
      </c>
      <c r="H1529" s="86">
        <v>96475.551000000007</v>
      </c>
      <c r="I1529" s="86">
        <f>(-1101.4-815.6)*0.6</f>
        <v>-1150.2</v>
      </c>
      <c r="J1529" s="5">
        <f t="shared" si="373"/>
        <v>95325.35100000001</v>
      </c>
      <c r="K1529" s="5">
        <f t="shared" si="374"/>
        <v>2943.5031959240396</v>
      </c>
      <c r="L1529" s="5">
        <f>K1529/$K$1659</f>
        <v>0.86780208263595648</v>
      </c>
      <c r="M1529" s="5">
        <f t="shared" si="375"/>
        <v>0</v>
      </c>
      <c r="N1529" s="5">
        <f t="shared" si="376"/>
        <v>2829.5</v>
      </c>
    </row>
    <row r="1530" spans="1:14" s="75" customFormat="1" ht="15.75" x14ac:dyDescent="0.25">
      <c r="A1530" s="38">
        <v>23</v>
      </c>
      <c r="B1530" s="34" t="s">
        <v>986</v>
      </c>
      <c r="C1530" s="18">
        <v>23576000000</v>
      </c>
      <c r="D1530" s="80" t="s">
        <v>2627</v>
      </c>
      <c r="E1530" s="86">
        <v>273.53300000000002</v>
      </c>
      <c r="F1530" s="86">
        <v>3.8439999999999999</v>
      </c>
      <c r="G1530" s="86">
        <f t="shared" si="377"/>
        <v>277.37700000000001</v>
      </c>
      <c r="H1530" s="86">
        <v>1266872.7620000001</v>
      </c>
      <c r="I1530" s="86">
        <f>(-190.9-213.9-157.4-49.4-25.6-25.7-37.8-37.6-34.5-32.3-71.5-84.6-398-447.6-148.6+0.9-36.9-9567.3)*0.6</f>
        <v>-6935.2199999999993</v>
      </c>
      <c r="J1530" s="5">
        <f t="shared" si="373"/>
        <v>1259937.5420000001</v>
      </c>
      <c r="K1530" s="5">
        <f t="shared" si="374"/>
        <v>4542.3288232261511</v>
      </c>
      <c r="L1530" s="5">
        <f>K1530/$K$1659</f>
        <v>1.33916702325018</v>
      </c>
      <c r="M1530" s="5">
        <f>ROUND(IF(L1530&lt;110%,0,(K1530-$K$1659*1.1)*0.5)*G1530,1)</f>
        <v>112508.6</v>
      </c>
      <c r="N1530" s="5">
        <f t="shared" si="376"/>
        <v>0</v>
      </c>
    </row>
    <row r="1531" spans="1:14" s="75" customFormat="1" ht="31.5" x14ac:dyDescent="0.25">
      <c r="A1531" s="38">
        <v>23</v>
      </c>
      <c r="B1531" s="34" t="s">
        <v>985</v>
      </c>
      <c r="C1531" s="18">
        <v>23577000000</v>
      </c>
      <c r="D1531" s="80" t="s">
        <v>2628</v>
      </c>
      <c r="E1531" s="86">
        <v>20.268999999999998</v>
      </c>
      <c r="F1531" s="86">
        <v>0.14899999999999999</v>
      </c>
      <c r="G1531" s="86">
        <f t="shared" si="377"/>
        <v>20.417999999999999</v>
      </c>
      <c r="H1531" s="86">
        <v>75444.182000000001</v>
      </c>
      <c r="I1531" s="86">
        <f>(-9877.255)*0.6</f>
        <v>-5926.3529999999992</v>
      </c>
      <c r="J1531" s="5">
        <f t="shared" si="373"/>
        <v>69517.828999999998</v>
      </c>
      <c r="K1531" s="5">
        <f t="shared" si="374"/>
        <v>3404.7325399157608</v>
      </c>
      <c r="L1531" s="5">
        <f>K1531/$K$1659</f>
        <v>1.0037814781545611</v>
      </c>
      <c r="M1531" s="5">
        <f>ROUND(IF(L1531&lt;110%,0,(K1531-$K$1659*1.1)*0.5)*G1531,1)</f>
        <v>0</v>
      </c>
      <c r="N1531" s="5">
        <f t="shared" si="376"/>
        <v>0</v>
      </c>
    </row>
    <row r="1532" spans="1:14" s="75" customFormat="1" ht="31.5" x14ac:dyDescent="0.25">
      <c r="A1532" s="38">
        <v>23</v>
      </c>
      <c r="B1532" s="34" t="s">
        <v>984</v>
      </c>
      <c r="C1532" s="18">
        <v>23578000000</v>
      </c>
      <c r="D1532" s="80" t="s">
        <v>2843</v>
      </c>
      <c r="E1532" s="86">
        <v>11.414999999999999</v>
      </c>
      <c r="F1532" s="86">
        <v>4.5999999999999999E-2</v>
      </c>
      <c r="G1532" s="86">
        <f t="shared" si="364"/>
        <v>11.460999999999999</v>
      </c>
      <c r="H1532" s="86">
        <v>23953.35</v>
      </c>
      <c r="I1532" s="86">
        <f>(84.6)*0.6</f>
        <v>50.76</v>
      </c>
      <c r="J1532" s="5">
        <f t="shared" si="373"/>
        <v>24004.109999999997</v>
      </c>
      <c r="K1532" s="5">
        <f t="shared" si="374"/>
        <v>2094.4167175639122</v>
      </c>
      <c r="L1532" s="5">
        <f>K1532/$K$1659</f>
        <v>0.6174748483121506</v>
      </c>
      <c r="M1532" s="5">
        <f>ROUND(IF(L1532&lt;110%,0,(K1532-$K$1659*1.1)*0.5)*G1532,1)</f>
        <v>0</v>
      </c>
      <c r="N1532" s="5">
        <f t="shared" si="376"/>
        <v>8786.4</v>
      </c>
    </row>
    <row r="1533" spans="1:14" s="75" customFormat="1" ht="15.75" x14ac:dyDescent="0.25">
      <c r="A1533" s="36">
        <v>24</v>
      </c>
      <c r="B1533" s="17" t="s">
        <v>7</v>
      </c>
      <c r="C1533" s="17" t="s">
        <v>823</v>
      </c>
      <c r="D1533" s="11" t="s">
        <v>25</v>
      </c>
      <c r="E1533" s="11">
        <f t="shared" ref="E1533:J1533" si="378">E1534+E1535+E1539</f>
        <v>896.56599999999992</v>
      </c>
      <c r="F1533" s="11">
        <f t="shared" si="378"/>
        <v>2.4370000000000003</v>
      </c>
      <c r="G1533" s="11">
        <f t="shared" si="378"/>
        <v>898.81400000000008</v>
      </c>
      <c r="H1533" s="11">
        <f t="shared" si="378"/>
        <v>1806720.1009999998</v>
      </c>
      <c r="I1533" s="11">
        <f t="shared" si="378"/>
        <v>16397.611799999995</v>
      </c>
      <c r="J1533" s="11">
        <f t="shared" si="378"/>
        <v>1823117.7127999999</v>
      </c>
      <c r="K1533" s="11">
        <f t="shared" si="374"/>
        <v>2028.3592743326203</v>
      </c>
      <c r="L1533" s="11">
        <f>K1533/$K$1659</f>
        <v>0.59799982722533773</v>
      </c>
      <c r="M1533" s="11">
        <f>M1534+M1535+M1539</f>
        <v>2673</v>
      </c>
      <c r="N1533" s="11">
        <f>N1534+N1535+N1539</f>
        <v>887103.49999999965</v>
      </c>
    </row>
    <row r="1534" spans="1:14" s="75" customFormat="1" ht="15.75" x14ac:dyDescent="0.25">
      <c r="A1534" s="38">
        <v>24</v>
      </c>
      <c r="B1534" s="34" t="s">
        <v>6</v>
      </c>
      <c r="C1534" s="18" t="s">
        <v>214</v>
      </c>
      <c r="D1534" s="32" t="s">
        <v>863</v>
      </c>
      <c r="E1534" s="5">
        <v>0</v>
      </c>
      <c r="F1534" s="5">
        <v>0.189</v>
      </c>
      <c r="G1534" s="5"/>
      <c r="H1534" s="49"/>
      <c r="I1534" s="49"/>
      <c r="J1534" s="5"/>
      <c r="K1534" s="5"/>
      <c r="L1534" s="5"/>
      <c r="M1534" s="5"/>
      <c r="N1534" s="5"/>
    </row>
    <row r="1535" spans="1:14" s="75" customFormat="1" ht="15.75" x14ac:dyDescent="0.25">
      <c r="A1535" s="37">
        <v>24</v>
      </c>
      <c r="B1535" s="19" t="s">
        <v>5</v>
      </c>
      <c r="C1535" s="19" t="s">
        <v>824</v>
      </c>
      <c r="D1535" s="7" t="s">
        <v>2817</v>
      </c>
      <c r="E1535" s="7">
        <f t="shared" ref="E1535:N1535" si="379">SUM(E1536:E1538)</f>
        <v>0</v>
      </c>
      <c r="F1535" s="7">
        <f t="shared" si="379"/>
        <v>0</v>
      </c>
      <c r="G1535" s="7">
        <f t="shared" si="379"/>
        <v>0</v>
      </c>
      <c r="H1535" s="7">
        <f t="shared" si="379"/>
        <v>0</v>
      </c>
      <c r="I1535" s="7">
        <f t="shared" si="379"/>
        <v>0</v>
      </c>
      <c r="J1535" s="7">
        <f t="shared" si="379"/>
        <v>0</v>
      </c>
      <c r="K1535" s="7">
        <f t="shared" si="379"/>
        <v>0</v>
      </c>
      <c r="L1535" s="7">
        <f t="shared" si="379"/>
        <v>0</v>
      </c>
      <c r="M1535" s="7">
        <f t="shared" si="379"/>
        <v>0</v>
      </c>
      <c r="N1535" s="7">
        <f t="shared" si="379"/>
        <v>0</v>
      </c>
    </row>
    <row r="1536" spans="1:14" s="75" customFormat="1" ht="15.75" x14ac:dyDescent="0.25">
      <c r="A1536" s="38">
        <v>24</v>
      </c>
      <c r="B1536" s="34" t="s">
        <v>4</v>
      </c>
      <c r="C1536" s="18" t="s">
        <v>2762</v>
      </c>
      <c r="D1536" s="32" t="s">
        <v>2763</v>
      </c>
      <c r="E1536" s="5"/>
      <c r="F1536" s="5"/>
      <c r="G1536" s="5"/>
      <c r="H1536" s="49"/>
      <c r="I1536" s="49"/>
      <c r="J1536" s="5"/>
      <c r="K1536" s="5"/>
      <c r="L1536" s="5"/>
      <c r="M1536" s="5"/>
      <c r="N1536" s="5"/>
    </row>
    <row r="1537" spans="1:14" s="75" customFormat="1" ht="15.75" x14ac:dyDescent="0.25">
      <c r="A1537" s="38">
        <v>24</v>
      </c>
      <c r="B1537" s="34" t="s">
        <v>4</v>
      </c>
      <c r="C1537" s="18" t="s">
        <v>2764</v>
      </c>
      <c r="D1537" s="32" t="s">
        <v>2821</v>
      </c>
      <c r="E1537" s="5"/>
      <c r="F1537" s="5"/>
      <c r="G1537" s="5"/>
      <c r="H1537" s="49"/>
      <c r="I1537" s="49"/>
      <c r="J1537" s="5"/>
      <c r="K1537" s="5"/>
      <c r="L1537" s="5"/>
      <c r="M1537" s="5"/>
      <c r="N1537" s="5"/>
    </row>
    <row r="1538" spans="1:14" s="75" customFormat="1" ht="15.75" x14ac:dyDescent="0.25">
      <c r="A1538" s="38">
        <v>24</v>
      </c>
      <c r="B1538" s="34" t="s">
        <v>4</v>
      </c>
      <c r="C1538" s="18">
        <v>24312200000</v>
      </c>
      <c r="D1538" s="32" t="s">
        <v>887</v>
      </c>
      <c r="E1538" s="5"/>
      <c r="F1538" s="5"/>
      <c r="G1538" s="5"/>
      <c r="H1538" s="49"/>
      <c r="I1538" s="49"/>
      <c r="J1538" s="5"/>
      <c r="K1538" s="5"/>
      <c r="L1538" s="5"/>
      <c r="M1538" s="5"/>
      <c r="N1538" s="5"/>
    </row>
    <row r="1539" spans="1:14" s="75" customFormat="1" ht="31.5" x14ac:dyDescent="0.25">
      <c r="A1539" s="37">
        <v>24</v>
      </c>
      <c r="B1539" s="19" t="s">
        <v>28</v>
      </c>
      <c r="C1539" s="19" t="s">
        <v>825</v>
      </c>
      <c r="D1539" s="20" t="s">
        <v>2790</v>
      </c>
      <c r="E1539" s="7">
        <f t="shared" ref="E1539:J1539" si="380">SUM(E1540:E1591)</f>
        <v>896.56599999999992</v>
      </c>
      <c r="F1539" s="7">
        <f t="shared" si="380"/>
        <v>2.2480000000000002</v>
      </c>
      <c r="G1539" s="7">
        <f t="shared" si="380"/>
        <v>898.81400000000008</v>
      </c>
      <c r="H1539" s="7">
        <f t="shared" si="380"/>
        <v>1806720.1009999998</v>
      </c>
      <c r="I1539" s="7">
        <f t="shared" si="380"/>
        <v>16397.611799999995</v>
      </c>
      <c r="J1539" s="7">
        <f t="shared" si="380"/>
        <v>1823117.7127999999</v>
      </c>
      <c r="K1539" s="7">
        <f t="shared" ref="K1539:K1556" si="381">J1539/G1539</f>
        <v>2028.3592743326203</v>
      </c>
      <c r="L1539" s="7">
        <f t="shared" ref="L1539:L1570" si="382">K1539/$K$1659</f>
        <v>0.59799982722533773</v>
      </c>
      <c r="M1539" s="7">
        <f>SUM(M1540:M1591)</f>
        <v>2673</v>
      </c>
      <c r="N1539" s="7">
        <f>SUM(N1540:N1591)</f>
        <v>887103.49999999965</v>
      </c>
    </row>
    <row r="1540" spans="1:14" s="75" customFormat="1" ht="31.5" x14ac:dyDescent="0.25">
      <c r="A1540" s="38">
        <v>24</v>
      </c>
      <c r="B1540" s="34" t="s">
        <v>984</v>
      </c>
      <c r="C1540" s="18" t="s">
        <v>215</v>
      </c>
      <c r="D1540" s="32" t="s">
        <v>2629</v>
      </c>
      <c r="E1540" s="5">
        <v>4.68</v>
      </c>
      <c r="F1540" s="5">
        <v>0</v>
      </c>
      <c r="G1540" s="5">
        <f t="shared" ref="G1540:G1571" si="383">F1540+E1540</f>
        <v>4.68</v>
      </c>
      <c r="H1540" s="49">
        <v>4402.9409999999998</v>
      </c>
      <c r="I1540" s="49"/>
      <c r="J1540" s="5">
        <f t="shared" ref="J1540:J1576" si="384">H1540+I1540</f>
        <v>4402.9409999999998</v>
      </c>
      <c r="K1540" s="5">
        <f t="shared" si="381"/>
        <v>940.79935897435894</v>
      </c>
      <c r="L1540" s="5">
        <f t="shared" si="382"/>
        <v>0.27736597812805308</v>
      </c>
      <c r="M1540" s="5">
        <f t="shared" ref="M1540:M1571" si="385">ROUND(IF(L1540&lt;110%,0,(K1540-$K$1659*1.1)*0.5)*G1540,1)</f>
        <v>0</v>
      </c>
      <c r="N1540" s="5">
        <f t="shared" ref="N1540:N1571" si="386">ROUND(IF(L1540&gt;90%,0,(-K1540+$K$1659*0.9)*0.8)*G1540,1)</f>
        <v>7907</v>
      </c>
    </row>
    <row r="1541" spans="1:14" s="75" customFormat="1" ht="31.5" x14ac:dyDescent="0.25">
      <c r="A1541" s="38">
        <v>24</v>
      </c>
      <c r="B1541" s="34" t="s">
        <v>984</v>
      </c>
      <c r="C1541" s="18" t="s">
        <v>216</v>
      </c>
      <c r="D1541" s="32" t="s">
        <v>2630</v>
      </c>
      <c r="E1541" s="5">
        <v>13.914</v>
      </c>
      <c r="F1541" s="5">
        <v>3.7999999999999999E-2</v>
      </c>
      <c r="G1541" s="5">
        <f t="shared" si="383"/>
        <v>13.952</v>
      </c>
      <c r="H1541" s="49">
        <v>8855.2060000000001</v>
      </c>
      <c r="I1541" s="49">
        <f>(3.545)*0.6</f>
        <v>2.1269999999999998</v>
      </c>
      <c r="J1541" s="5">
        <f t="shared" si="384"/>
        <v>8857.3330000000005</v>
      </c>
      <c r="K1541" s="5">
        <f t="shared" si="381"/>
        <v>634.84324827981652</v>
      </c>
      <c r="L1541" s="5">
        <f t="shared" si="382"/>
        <v>0.18716415656265434</v>
      </c>
      <c r="M1541" s="5">
        <f t="shared" si="385"/>
        <v>0</v>
      </c>
      <c r="N1541" s="5">
        <f t="shared" si="386"/>
        <v>26987.3</v>
      </c>
    </row>
    <row r="1542" spans="1:14" ht="31.5" x14ac:dyDescent="0.25">
      <c r="A1542" s="38">
        <v>24</v>
      </c>
      <c r="B1542" s="34" t="s">
        <v>984</v>
      </c>
      <c r="C1542" s="18" t="s">
        <v>269</v>
      </c>
      <c r="D1542" s="32" t="s">
        <v>2631</v>
      </c>
      <c r="E1542" s="5">
        <v>6.976</v>
      </c>
      <c r="F1542" s="5">
        <v>1E-3</v>
      </c>
      <c r="G1542" s="5">
        <f t="shared" si="383"/>
        <v>6.9770000000000003</v>
      </c>
      <c r="H1542" s="49">
        <v>6425.5410000000002</v>
      </c>
      <c r="I1542" s="49">
        <f>(2.554)*0.6</f>
        <v>1.5323999999999998</v>
      </c>
      <c r="J1542" s="5">
        <f t="shared" si="384"/>
        <v>6427.0734000000002</v>
      </c>
      <c r="K1542" s="5">
        <f t="shared" si="381"/>
        <v>921.18007739716211</v>
      </c>
      <c r="L1542" s="5">
        <f t="shared" si="382"/>
        <v>0.2715818317285898</v>
      </c>
      <c r="M1542" s="5">
        <f t="shared" si="385"/>
        <v>0</v>
      </c>
      <c r="N1542" s="5">
        <f t="shared" si="386"/>
        <v>11897.4</v>
      </c>
    </row>
    <row r="1543" spans="1:14" ht="31.5" x14ac:dyDescent="0.25">
      <c r="A1543" s="38">
        <v>24</v>
      </c>
      <c r="B1543" s="34" t="s">
        <v>985</v>
      </c>
      <c r="C1543" s="18" t="s">
        <v>270</v>
      </c>
      <c r="D1543" s="32" t="s">
        <v>3141</v>
      </c>
      <c r="E1543" s="5">
        <v>19.271000000000001</v>
      </c>
      <c r="F1543" s="5">
        <v>2.3E-2</v>
      </c>
      <c r="G1543" s="5">
        <f t="shared" si="383"/>
        <v>19.294</v>
      </c>
      <c r="H1543" s="49">
        <v>41701.968000000001</v>
      </c>
      <c r="I1543" s="49">
        <f>(44.965)*0.6</f>
        <v>26.979000000000003</v>
      </c>
      <c r="J1543" s="5">
        <f t="shared" si="384"/>
        <v>41728.947</v>
      </c>
      <c r="K1543" s="5">
        <f t="shared" si="381"/>
        <v>2162.7939774023012</v>
      </c>
      <c r="L1543" s="5">
        <f t="shared" si="382"/>
        <v>0.63763379652557906</v>
      </c>
      <c r="M1543" s="5">
        <f t="shared" si="385"/>
        <v>0</v>
      </c>
      <c r="N1543" s="5">
        <f t="shared" si="386"/>
        <v>13736.1</v>
      </c>
    </row>
    <row r="1544" spans="1:14" ht="31.5" x14ac:dyDescent="0.25">
      <c r="A1544" s="38">
        <v>24</v>
      </c>
      <c r="B1544" s="34" t="s">
        <v>984</v>
      </c>
      <c r="C1544" s="18" t="s">
        <v>271</v>
      </c>
      <c r="D1544" s="32" t="s">
        <v>2633</v>
      </c>
      <c r="E1544" s="5">
        <v>14.951000000000001</v>
      </c>
      <c r="F1544" s="5">
        <v>1.2E-2</v>
      </c>
      <c r="G1544" s="5">
        <f t="shared" si="383"/>
        <v>14.963000000000001</v>
      </c>
      <c r="H1544" s="49">
        <v>11187.453</v>
      </c>
      <c r="I1544" s="49"/>
      <c r="J1544" s="5">
        <f t="shared" si="384"/>
        <v>11187.453</v>
      </c>
      <c r="K1544" s="5">
        <f t="shared" si="381"/>
        <v>747.67446367706998</v>
      </c>
      <c r="L1544" s="5">
        <f t="shared" si="382"/>
        <v>0.22042899685352574</v>
      </c>
      <c r="M1544" s="5">
        <f t="shared" si="385"/>
        <v>0</v>
      </c>
      <c r="N1544" s="5">
        <f t="shared" si="386"/>
        <v>27592.3</v>
      </c>
    </row>
    <row r="1545" spans="1:14" ht="31.5" x14ac:dyDescent="0.25">
      <c r="A1545" s="38">
        <v>24</v>
      </c>
      <c r="B1545" s="34" t="s">
        <v>984</v>
      </c>
      <c r="C1545" s="18" t="s">
        <v>272</v>
      </c>
      <c r="D1545" s="32" t="s">
        <v>2634</v>
      </c>
      <c r="E1545" s="5">
        <v>11.863</v>
      </c>
      <c r="F1545" s="5">
        <v>7.0000000000000001E-3</v>
      </c>
      <c r="G1545" s="5">
        <f t="shared" si="383"/>
        <v>11.87</v>
      </c>
      <c r="H1545" s="49">
        <v>14532.418</v>
      </c>
      <c r="I1545" s="49"/>
      <c r="J1545" s="5">
        <f t="shared" si="384"/>
        <v>14532.418</v>
      </c>
      <c r="K1545" s="5">
        <f t="shared" si="381"/>
        <v>1224.2980623420387</v>
      </c>
      <c r="L1545" s="5">
        <f t="shared" si="382"/>
        <v>0.36094691853529925</v>
      </c>
      <c r="M1545" s="5">
        <f t="shared" si="385"/>
        <v>0</v>
      </c>
      <c r="N1545" s="5">
        <f t="shared" si="386"/>
        <v>17362.7</v>
      </c>
    </row>
    <row r="1546" spans="1:14" ht="31.5" x14ac:dyDescent="0.25">
      <c r="A1546" s="38">
        <v>24</v>
      </c>
      <c r="B1546" s="34" t="s">
        <v>984</v>
      </c>
      <c r="C1546" s="18" t="s">
        <v>273</v>
      </c>
      <c r="D1546" s="32" t="s">
        <v>2635</v>
      </c>
      <c r="E1546" s="5">
        <v>12.438000000000001</v>
      </c>
      <c r="F1546" s="5">
        <v>0.01</v>
      </c>
      <c r="G1546" s="5">
        <f t="shared" si="383"/>
        <v>12.448</v>
      </c>
      <c r="H1546" s="49">
        <v>11516.087</v>
      </c>
      <c r="I1546" s="49">
        <f>(1.205)*0.6</f>
        <v>0.72299999999999998</v>
      </c>
      <c r="J1546" s="5">
        <f t="shared" si="384"/>
        <v>11516.81</v>
      </c>
      <c r="K1546" s="5">
        <f t="shared" si="381"/>
        <v>925.19360539845752</v>
      </c>
      <c r="L1546" s="5">
        <f t="shared" si="382"/>
        <v>0.27276509796830878</v>
      </c>
      <c r="M1546" s="5">
        <f t="shared" si="385"/>
        <v>0</v>
      </c>
      <c r="N1546" s="5">
        <f t="shared" si="386"/>
        <v>21186.7</v>
      </c>
    </row>
    <row r="1547" spans="1:14" ht="31.5" x14ac:dyDescent="0.25">
      <c r="A1547" s="38">
        <v>24</v>
      </c>
      <c r="B1547" s="34" t="s">
        <v>984</v>
      </c>
      <c r="C1547" s="18" t="s">
        <v>274</v>
      </c>
      <c r="D1547" s="32" t="s">
        <v>2636</v>
      </c>
      <c r="E1547" s="5">
        <v>6.5049999999999999</v>
      </c>
      <c r="F1547" s="5">
        <v>6.0000000000000001E-3</v>
      </c>
      <c r="G1547" s="5">
        <f t="shared" si="383"/>
        <v>6.5110000000000001</v>
      </c>
      <c r="H1547" s="49">
        <v>3798.431</v>
      </c>
      <c r="I1547" s="49"/>
      <c r="J1547" s="5">
        <f t="shared" si="384"/>
        <v>3798.431</v>
      </c>
      <c r="K1547" s="5">
        <f t="shared" si="381"/>
        <v>583.3867301489787</v>
      </c>
      <c r="L1547" s="5">
        <f t="shared" si="382"/>
        <v>0.17199377262661181</v>
      </c>
      <c r="M1547" s="5">
        <f t="shared" si="385"/>
        <v>0</v>
      </c>
      <c r="N1547" s="5">
        <f t="shared" si="386"/>
        <v>12862.2</v>
      </c>
    </row>
    <row r="1548" spans="1:14" ht="15.75" x14ac:dyDescent="0.25">
      <c r="A1548" s="38">
        <v>24</v>
      </c>
      <c r="B1548" s="34" t="s">
        <v>983</v>
      </c>
      <c r="C1548" s="18" t="s">
        <v>275</v>
      </c>
      <c r="D1548" s="32" t="s">
        <v>2637</v>
      </c>
      <c r="E1548" s="5">
        <v>36.520000000000003</v>
      </c>
      <c r="F1548" s="5">
        <v>0.02</v>
      </c>
      <c r="G1548" s="5">
        <f t="shared" si="383"/>
        <v>36.540000000000006</v>
      </c>
      <c r="H1548" s="49">
        <v>65283.799000000006</v>
      </c>
      <c r="I1548" s="49">
        <f>(-2381.4)*0.6</f>
        <v>-1428.84</v>
      </c>
      <c r="J1548" s="5">
        <f t="shared" si="384"/>
        <v>63854.95900000001</v>
      </c>
      <c r="K1548" s="5">
        <f t="shared" si="381"/>
        <v>1747.5358237547891</v>
      </c>
      <c r="L1548" s="5">
        <f t="shared" si="382"/>
        <v>0.51520760345540428</v>
      </c>
      <c r="M1548" s="5">
        <f t="shared" si="385"/>
        <v>0</v>
      </c>
      <c r="N1548" s="5">
        <f t="shared" si="386"/>
        <v>38153</v>
      </c>
    </row>
    <row r="1549" spans="1:14" ht="31.5" x14ac:dyDescent="0.25">
      <c r="A1549" s="38">
        <v>24</v>
      </c>
      <c r="B1549" s="34" t="s">
        <v>984</v>
      </c>
      <c r="C1549" s="18" t="s">
        <v>276</v>
      </c>
      <c r="D1549" s="32" t="s">
        <v>2638</v>
      </c>
      <c r="E1549" s="5">
        <v>5.4509999999999996</v>
      </c>
      <c r="F1549" s="5">
        <v>0</v>
      </c>
      <c r="G1549" s="5">
        <f t="shared" si="383"/>
        <v>5.4509999999999996</v>
      </c>
      <c r="H1549" s="49">
        <v>5083.66</v>
      </c>
      <c r="I1549" s="49"/>
      <c r="J1549" s="5">
        <f t="shared" si="384"/>
        <v>5083.66</v>
      </c>
      <c r="K1549" s="5">
        <f t="shared" si="381"/>
        <v>932.61053017794904</v>
      </c>
      <c r="L1549" s="5">
        <f t="shared" si="382"/>
        <v>0.27495175187760629</v>
      </c>
      <c r="M1549" s="5">
        <f t="shared" si="385"/>
        <v>0</v>
      </c>
      <c r="N1549" s="5">
        <f t="shared" si="386"/>
        <v>9245.4</v>
      </c>
    </row>
    <row r="1550" spans="1:14" ht="15.75" x14ac:dyDescent="0.25">
      <c r="A1550" s="38">
        <v>24</v>
      </c>
      <c r="B1550" s="34" t="s">
        <v>983</v>
      </c>
      <c r="C1550" s="18" t="s">
        <v>450</v>
      </c>
      <c r="D1550" s="32" t="s">
        <v>2639</v>
      </c>
      <c r="E1550" s="5">
        <v>12.315</v>
      </c>
      <c r="F1550" s="5">
        <v>0.02</v>
      </c>
      <c r="G1550" s="5">
        <f t="shared" si="383"/>
        <v>12.334999999999999</v>
      </c>
      <c r="H1550" s="49">
        <v>10698.545</v>
      </c>
      <c r="I1550" s="49"/>
      <c r="J1550" s="5">
        <f t="shared" si="384"/>
        <v>10698.545</v>
      </c>
      <c r="K1550" s="5">
        <f t="shared" si="381"/>
        <v>867.33238751520071</v>
      </c>
      <c r="L1550" s="5">
        <f t="shared" si="382"/>
        <v>0.25570648377944932</v>
      </c>
      <c r="M1550" s="5">
        <f t="shared" si="385"/>
        <v>0</v>
      </c>
      <c r="N1550" s="5">
        <f t="shared" si="386"/>
        <v>21565.4</v>
      </c>
    </row>
    <row r="1551" spans="1:14" ht="15.75" x14ac:dyDescent="0.25">
      <c r="A1551" s="38">
        <v>24</v>
      </c>
      <c r="B1551" s="34" t="s">
        <v>983</v>
      </c>
      <c r="C1551" s="18" t="s">
        <v>451</v>
      </c>
      <c r="D1551" s="32" t="s">
        <v>2640</v>
      </c>
      <c r="E1551" s="5">
        <v>16.794</v>
      </c>
      <c r="F1551" s="5">
        <v>6.6000000000000003E-2</v>
      </c>
      <c r="G1551" s="5">
        <f t="shared" si="383"/>
        <v>16.86</v>
      </c>
      <c r="H1551" s="49">
        <v>33757.686999999998</v>
      </c>
      <c r="I1551" s="49"/>
      <c r="J1551" s="5">
        <f t="shared" si="384"/>
        <v>33757.686999999998</v>
      </c>
      <c r="K1551" s="5">
        <f t="shared" si="381"/>
        <v>2002.2352906287069</v>
      </c>
      <c r="L1551" s="5">
        <f t="shared" si="382"/>
        <v>0.5902979679250332</v>
      </c>
      <c r="M1551" s="5">
        <f t="shared" si="385"/>
        <v>0</v>
      </c>
      <c r="N1551" s="5">
        <f t="shared" si="386"/>
        <v>14168.9</v>
      </c>
    </row>
    <row r="1552" spans="1:14" ht="31.5" x14ac:dyDescent="0.25">
      <c r="A1552" s="38">
        <v>24</v>
      </c>
      <c r="B1552" s="34" t="s">
        <v>983</v>
      </c>
      <c r="C1552" s="18" t="s">
        <v>452</v>
      </c>
      <c r="D1552" s="32" t="s">
        <v>2641</v>
      </c>
      <c r="E1552" s="5">
        <v>42.154000000000003</v>
      </c>
      <c r="F1552" s="5">
        <v>8.1000000000000003E-2</v>
      </c>
      <c r="G1552" s="5">
        <f t="shared" si="383"/>
        <v>42.235000000000007</v>
      </c>
      <c r="H1552" s="49">
        <v>58851.976000000002</v>
      </c>
      <c r="I1552" s="49">
        <f>(41.308)*0.6</f>
        <v>24.784800000000001</v>
      </c>
      <c r="J1552" s="5">
        <f t="shared" si="384"/>
        <v>58876.760800000004</v>
      </c>
      <c r="K1552" s="5">
        <f t="shared" si="381"/>
        <v>1394.0277210844085</v>
      </c>
      <c r="L1552" s="5">
        <f t="shared" si="382"/>
        <v>0.41098652832599969</v>
      </c>
      <c r="M1552" s="5">
        <f t="shared" si="385"/>
        <v>0</v>
      </c>
      <c r="N1552" s="5">
        <f t="shared" si="386"/>
        <v>56043.7</v>
      </c>
    </row>
    <row r="1553" spans="1:14" ht="31.5" x14ac:dyDescent="0.25">
      <c r="A1553" s="38">
        <v>24</v>
      </c>
      <c r="B1553" s="34" t="s">
        <v>985</v>
      </c>
      <c r="C1553" s="18" t="s">
        <v>453</v>
      </c>
      <c r="D1553" s="32" t="s">
        <v>2642</v>
      </c>
      <c r="E1553" s="5">
        <v>11.221</v>
      </c>
      <c r="F1553" s="5">
        <v>4.0000000000000001E-3</v>
      </c>
      <c r="G1553" s="5">
        <f t="shared" si="383"/>
        <v>11.225</v>
      </c>
      <c r="H1553" s="49">
        <v>8354.0130000000008</v>
      </c>
      <c r="I1553" s="49"/>
      <c r="J1553" s="5">
        <f t="shared" si="384"/>
        <v>8354.0130000000008</v>
      </c>
      <c r="K1553" s="5">
        <f t="shared" si="381"/>
        <v>744.23278396436535</v>
      </c>
      <c r="L1553" s="5">
        <f t="shared" si="382"/>
        <v>0.21941432262908911</v>
      </c>
      <c r="M1553" s="5">
        <f t="shared" si="385"/>
        <v>0</v>
      </c>
      <c r="N1553" s="5">
        <f t="shared" si="386"/>
        <v>20730.2</v>
      </c>
    </row>
    <row r="1554" spans="1:14" ht="31.5" x14ac:dyDescent="0.25">
      <c r="A1554" s="38">
        <v>24</v>
      </c>
      <c r="B1554" s="34" t="s">
        <v>984</v>
      </c>
      <c r="C1554" s="18" t="s">
        <v>454</v>
      </c>
      <c r="D1554" s="32" t="s">
        <v>2643</v>
      </c>
      <c r="E1554" s="5">
        <v>6.3109999999999999</v>
      </c>
      <c r="F1554" s="5">
        <v>1E-3</v>
      </c>
      <c r="G1554" s="5">
        <f t="shared" si="383"/>
        <v>6.3120000000000003</v>
      </c>
      <c r="H1554" s="49">
        <v>7619.2079999999996</v>
      </c>
      <c r="I1554" s="49"/>
      <c r="J1554" s="5">
        <f t="shared" si="384"/>
        <v>7619.2079999999996</v>
      </c>
      <c r="K1554" s="5">
        <f t="shared" si="381"/>
        <v>1207.0988593155892</v>
      </c>
      <c r="L1554" s="5">
        <f t="shared" si="382"/>
        <v>0.35587625843657761</v>
      </c>
      <c r="M1554" s="5">
        <f t="shared" si="385"/>
        <v>0</v>
      </c>
      <c r="N1554" s="5">
        <f t="shared" si="386"/>
        <v>9319.6</v>
      </c>
    </row>
    <row r="1555" spans="1:14" ht="15.75" x14ac:dyDescent="0.25">
      <c r="A1555" s="38">
        <v>24</v>
      </c>
      <c r="B1555" s="34" t="s">
        <v>984</v>
      </c>
      <c r="C1555" s="18" t="s">
        <v>455</v>
      </c>
      <c r="D1555" s="32" t="s">
        <v>2644</v>
      </c>
      <c r="E1555" s="5">
        <v>14.42</v>
      </c>
      <c r="F1555" s="5">
        <v>1E-3</v>
      </c>
      <c r="G1555" s="5">
        <f t="shared" si="383"/>
        <v>14.420999999999999</v>
      </c>
      <c r="H1555" s="49">
        <v>8862.8770000000004</v>
      </c>
      <c r="I1555" s="49"/>
      <c r="J1555" s="5">
        <f t="shared" si="384"/>
        <v>8862.8770000000004</v>
      </c>
      <c r="K1555" s="5">
        <f t="shared" si="381"/>
        <v>614.58130504125938</v>
      </c>
      <c r="L1555" s="5">
        <f t="shared" si="382"/>
        <v>0.18119054098614684</v>
      </c>
      <c r="M1555" s="5">
        <f t="shared" si="385"/>
        <v>0</v>
      </c>
      <c r="N1555" s="5">
        <f t="shared" si="386"/>
        <v>28128.3</v>
      </c>
    </row>
    <row r="1556" spans="1:14" ht="31.5" x14ac:dyDescent="0.25">
      <c r="A1556" s="38">
        <v>24</v>
      </c>
      <c r="B1556" s="34" t="s">
        <v>984</v>
      </c>
      <c r="C1556" s="18" t="s">
        <v>505</v>
      </c>
      <c r="D1556" s="32" t="s">
        <v>2645</v>
      </c>
      <c r="E1556" s="5">
        <v>4.7919999999999998</v>
      </c>
      <c r="F1556" s="5">
        <v>0</v>
      </c>
      <c r="G1556" s="5">
        <f t="shared" si="383"/>
        <v>4.7919999999999998</v>
      </c>
      <c r="H1556" s="49">
        <v>3949.6350000000002</v>
      </c>
      <c r="I1556" s="49"/>
      <c r="J1556" s="5">
        <f t="shared" si="384"/>
        <v>3949.6350000000002</v>
      </c>
      <c r="K1556" s="5">
        <f t="shared" si="381"/>
        <v>824.21431552587649</v>
      </c>
      <c r="L1556" s="5">
        <f t="shared" si="382"/>
        <v>0.24299443620178862</v>
      </c>
      <c r="M1556" s="5">
        <f t="shared" si="385"/>
        <v>0</v>
      </c>
      <c r="N1556" s="5">
        <f t="shared" si="386"/>
        <v>8543.2000000000007</v>
      </c>
    </row>
    <row r="1557" spans="1:14" ht="31.5" x14ac:dyDescent="0.25">
      <c r="A1557" s="38">
        <v>24</v>
      </c>
      <c r="B1557" s="34" t="s">
        <v>984</v>
      </c>
      <c r="C1557" s="18" t="s">
        <v>506</v>
      </c>
      <c r="D1557" s="32" t="s">
        <v>2834</v>
      </c>
      <c r="E1557" s="5">
        <v>4.7089999999999996</v>
      </c>
      <c r="F1557" s="5">
        <v>2E-3</v>
      </c>
      <c r="G1557" s="5">
        <f t="shared" si="383"/>
        <v>4.7109999999999994</v>
      </c>
      <c r="H1557" s="49">
        <v>7395.8959999999997</v>
      </c>
      <c r="I1557" s="49"/>
      <c r="J1557" s="5">
        <f t="shared" si="384"/>
        <v>7395.8959999999997</v>
      </c>
      <c r="K1557" s="5">
        <f t="shared" ref="K1557:K1592" si="387">J1557/G1557</f>
        <v>1569.9206113351731</v>
      </c>
      <c r="L1557" s="5">
        <f t="shared" si="382"/>
        <v>0.46284317882729248</v>
      </c>
      <c r="M1557" s="5">
        <f t="shared" si="385"/>
        <v>0</v>
      </c>
      <c r="N1557" s="5">
        <f t="shared" si="386"/>
        <v>5588.4</v>
      </c>
    </row>
    <row r="1558" spans="1:14" ht="15.75" x14ac:dyDescent="0.25">
      <c r="A1558" s="38">
        <v>24</v>
      </c>
      <c r="B1558" s="34" t="s">
        <v>984</v>
      </c>
      <c r="C1558" s="18" t="s">
        <v>658</v>
      </c>
      <c r="D1558" s="32" t="s">
        <v>2646</v>
      </c>
      <c r="E1558" s="5">
        <v>13.452999999999999</v>
      </c>
      <c r="F1558" s="5">
        <v>5.0000000000000001E-3</v>
      </c>
      <c r="G1558" s="5">
        <f t="shared" si="383"/>
        <v>13.458</v>
      </c>
      <c r="H1558" s="49">
        <v>11998.825999999999</v>
      </c>
      <c r="I1558" s="49"/>
      <c r="J1558" s="5">
        <f t="shared" si="384"/>
        <v>11998.825999999999</v>
      </c>
      <c r="K1558" s="5">
        <f t="shared" si="387"/>
        <v>891.57571704562338</v>
      </c>
      <c r="L1558" s="5">
        <f t="shared" si="382"/>
        <v>0.26285388959360406</v>
      </c>
      <c r="M1558" s="5">
        <f t="shared" si="385"/>
        <v>0</v>
      </c>
      <c r="N1558" s="5">
        <f t="shared" si="386"/>
        <v>23267.7</v>
      </c>
    </row>
    <row r="1559" spans="1:14" ht="31.5" x14ac:dyDescent="0.25">
      <c r="A1559" s="38">
        <v>24</v>
      </c>
      <c r="B1559" s="34" t="s">
        <v>984</v>
      </c>
      <c r="C1559" s="18" t="s">
        <v>659</v>
      </c>
      <c r="D1559" s="32" t="s">
        <v>2647</v>
      </c>
      <c r="E1559" s="5">
        <v>19.928999999999998</v>
      </c>
      <c r="F1559" s="5">
        <v>1.4999999999999999E-2</v>
      </c>
      <c r="G1559" s="5">
        <f t="shared" si="383"/>
        <v>19.943999999999999</v>
      </c>
      <c r="H1559" s="49">
        <v>22503.833999999999</v>
      </c>
      <c r="I1559" s="49">
        <f>(1.428)*0.6</f>
        <v>0.8567999999999999</v>
      </c>
      <c r="J1559" s="5">
        <f t="shared" si="384"/>
        <v>22504.6908</v>
      </c>
      <c r="K1559" s="5">
        <f t="shared" si="387"/>
        <v>1128.3940433212997</v>
      </c>
      <c r="L1559" s="5">
        <f t="shared" si="382"/>
        <v>0.33267254548396336</v>
      </c>
      <c r="M1559" s="5">
        <f t="shared" si="385"/>
        <v>0</v>
      </c>
      <c r="N1559" s="5">
        <f t="shared" si="386"/>
        <v>30702.9</v>
      </c>
    </row>
    <row r="1560" spans="1:14" ht="15.75" x14ac:dyDescent="0.25">
      <c r="A1560" s="38">
        <v>24</v>
      </c>
      <c r="B1560" s="34" t="s">
        <v>983</v>
      </c>
      <c r="C1560" s="18" t="s">
        <v>660</v>
      </c>
      <c r="D1560" s="32" t="s">
        <v>2648</v>
      </c>
      <c r="E1560" s="5">
        <v>20.728999999999999</v>
      </c>
      <c r="F1560" s="5">
        <v>3.2000000000000001E-2</v>
      </c>
      <c r="G1560" s="5">
        <f t="shared" si="383"/>
        <v>20.760999999999999</v>
      </c>
      <c r="H1560" s="49">
        <v>43076.779000000002</v>
      </c>
      <c r="I1560" s="49">
        <f>(7.028)*0.6</f>
        <v>4.2167999999999992</v>
      </c>
      <c r="J1560" s="5">
        <f t="shared" si="384"/>
        <v>43080.995800000004</v>
      </c>
      <c r="K1560" s="5">
        <f t="shared" si="387"/>
        <v>2075.0925196281491</v>
      </c>
      <c r="L1560" s="5">
        <f t="shared" si="382"/>
        <v>0.61177769831851514</v>
      </c>
      <c r="M1560" s="5">
        <f t="shared" si="385"/>
        <v>0</v>
      </c>
      <c r="N1560" s="5">
        <f t="shared" si="386"/>
        <v>16237.1</v>
      </c>
    </row>
    <row r="1561" spans="1:14" ht="31.5" x14ac:dyDescent="0.25">
      <c r="A1561" s="38">
        <v>24</v>
      </c>
      <c r="B1561" s="34" t="s">
        <v>984</v>
      </c>
      <c r="C1561" s="18" t="s">
        <v>661</v>
      </c>
      <c r="D1561" s="32" t="s">
        <v>2649</v>
      </c>
      <c r="E1561" s="5">
        <v>9.4990000000000006</v>
      </c>
      <c r="F1561" s="5">
        <v>4.0000000000000001E-3</v>
      </c>
      <c r="G1561" s="5">
        <f t="shared" si="383"/>
        <v>9.5030000000000001</v>
      </c>
      <c r="H1561" s="49">
        <v>11058.296</v>
      </c>
      <c r="I1561" s="49">
        <f>(116.641)*0.6</f>
        <v>69.9846</v>
      </c>
      <c r="J1561" s="5">
        <f t="shared" si="384"/>
        <v>11128.2806</v>
      </c>
      <c r="K1561" s="5">
        <f t="shared" si="387"/>
        <v>1171.0281595285699</v>
      </c>
      <c r="L1561" s="5">
        <f t="shared" si="382"/>
        <v>0.34524191346944566</v>
      </c>
      <c r="M1561" s="5">
        <f t="shared" si="385"/>
        <v>0</v>
      </c>
      <c r="N1561" s="5">
        <f t="shared" si="386"/>
        <v>14305.3</v>
      </c>
    </row>
    <row r="1562" spans="1:14" ht="15.75" x14ac:dyDescent="0.25">
      <c r="A1562" s="38">
        <v>24</v>
      </c>
      <c r="B1562" s="34" t="s">
        <v>984</v>
      </c>
      <c r="C1562" s="18" t="s">
        <v>724</v>
      </c>
      <c r="D1562" s="32" t="s">
        <v>2650</v>
      </c>
      <c r="E1562" s="5">
        <v>5.8650000000000002</v>
      </c>
      <c r="F1562" s="5">
        <v>4.0000000000000001E-3</v>
      </c>
      <c r="G1562" s="5">
        <f t="shared" si="383"/>
        <v>5.8689999999999998</v>
      </c>
      <c r="H1562" s="49">
        <v>7947.9380000000001</v>
      </c>
      <c r="I1562" s="49">
        <f>(30000+207.1+5.3+174.6)*0.6</f>
        <v>18232.199999999997</v>
      </c>
      <c r="J1562" s="5">
        <f t="shared" si="384"/>
        <v>26180.137999999999</v>
      </c>
      <c r="K1562" s="5">
        <f t="shared" si="387"/>
        <v>4460.7493610495821</v>
      </c>
      <c r="L1562" s="5">
        <f t="shared" si="382"/>
        <v>1.315115808603911</v>
      </c>
      <c r="M1562" s="5">
        <f t="shared" si="385"/>
        <v>2141.1999999999998</v>
      </c>
      <c r="N1562" s="5">
        <f t="shared" si="386"/>
        <v>0</v>
      </c>
    </row>
    <row r="1563" spans="1:14" ht="31.5" x14ac:dyDescent="0.25">
      <c r="A1563" s="38">
        <v>24</v>
      </c>
      <c r="B1563" s="34" t="s">
        <v>984</v>
      </c>
      <c r="C1563" s="18" t="s">
        <v>725</v>
      </c>
      <c r="D1563" s="32" t="s">
        <v>2651</v>
      </c>
      <c r="E1563" s="5">
        <v>10.473000000000001</v>
      </c>
      <c r="F1563" s="5">
        <v>1E-3</v>
      </c>
      <c r="G1563" s="5">
        <f t="shared" si="383"/>
        <v>10.474</v>
      </c>
      <c r="H1563" s="49">
        <v>9543.0939999999991</v>
      </c>
      <c r="I1563" s="49">
        <f>(1359.1+18.963)*0.6</f>
        <v>826.8377999999999</v>
      </c>
      <c r="J1563" s="5">
        <f t="shared" si="384"/>
        <v>10369.931799999998</v>
      </c>
      <c r="K1563" s="5">
        <f t="shared" si="387"/>
        <v>990.06413977468003</v>
      </c>
      <c r="L1563" s="5">
        <f t="shared" si="382"/>
        <v>0.29189019520324522</v>
      </c>
      <c r="M1563" s="5">
        <f t="shared" si="385"/>
        <v>0</v>
      </c>
      <c r="N1563" s="5">
        <f t="shared" si="386"/>
        <v>17283.400000000001</v>
      </c>
    </row>
    <row r="1564" spans="1:14" ht="31.5" x14ac:dyDescent="0.25">
      <c r="A1564" s="38">
        <v>24</v>
      </c>
      <c r="B1564" s="34" t="s">
        <v>985</v>
      </c>
      <c r="C1564" s="18" t="s">
        <v>726</v>
      </c>
      <c r="D1564" s="32" t="s">
        <v>2652</v>
      </c>
      <c r="E1564" s="5">
        <v>4.2809999999999997</v>
      </c>
      <c r="F1564" s="5">
        <v>3.0000000000000001E-3</v>
      </c>
      <c r="G1564" s="5">
        <f t="shared" si="383"/>
        <v>4.2839999999999998</v>
      </c>
      <c r="H1564" s="49">
        <v>4870.268</v>
      </c>
      <c r="I1564" s="49"/>
      <c r="J1564" s="5">
        <f t="shared" si="384"/>
        <v>4870.268</v>
      </c>
      <c r="K1564" s="5">
        <f t="shared" si="387"/>
        <v>1136.8506069094306</v>
      </c>
      <c r="L1564" s="5">
        <f t="shared" si="382"/>
        <v>0.3351657051665774</v>
      </c>
      <c r="M1564" s="5">
        <f t="shared" si="385"/>
        <v>0</v>
      </c>
      <c r="N1564" s="5">
        <f t="shared" si="386"/>
        <v>6566.1</v>
      </c>
    </row>
    <row r="1565" spans="1:14" ht="31.5" x14ac:dyDescent="0.25">
      <c r="A1565" s="38">
        <v>24</v>
      </c>
      <c r="B1565" s="34" t="s">
        <v>983</v>
      </c>
      <c r="C1565" s="18" t="s">
        <v>727</v>
      </c>
      <c r="D1565" s="32" t="s">
        <v>2653</v>
      </c>
      <c r="E1565" s="5">
        <v>28.201000000000001</v>
      </c>
      <c r="F1565" s="5">
        <v>4.3999999999999997E-2</v>
      </c>
      <c r="G1565" s="5">
        <f t="shared" si="383"/>
        <v>28.245000000000001</v>
      </c>
      <c r="H1565" s="49">
        <v>47414.445</v>
      </c>
      <c r="I1565" s="49"/>
      <c r="J1565" s="5">
        <f t="shared" si="384"/>
        <v>47414.445</v>
      </c>
      <c r="K1565" s="5">
        <f t="shared" si="387"/>
        <v>1678.684545937334</v>
      </c>
      <c r="L1565" s="5">
        <f t="shared" si="382"/>
        <v>0.49490890550771016</v>
      </c>
      <c r="M1565" s="5">
        <f t="shared" si="385"/>
        <v>0</v>
      </c>
      <c r="N1565" s="5">
        <f t="shared" si="386"/>
        <v>31047.599999999999</v>
      </c>
    </row>
    <row r="1566" spans="1:14" ht="15.75" x14ac:dyDescent="0.25">
      <c r="A1566" s="38">
        <v>24</v>
      </c>
      <c r="B1566" s="34" t="s">
        <v>983</v>
      </c>
      <c r="C1566" s="18">
        <v>24527000000</v>
      </c>
      <c r="D1566" s="32" t="s">
        <v>2654</v>
      </c>
      <c r="E1566" s="5">
        <v>17.972999999999999</v>
      </c>
      <c r="F1566" s="5">
        <v>1.0999999999999999E-2</v>
      </c>
      <c r="G1566" s="5">
        <f t="shared" si="383"/>
        <v>17.983999999999998</v>
      </c>
      <c r="H1566" s="49">
        <v>22437.958999999999</v>
      </c>
      <c r="I1566" s="49"/>
      <c r="J1566" s="5">
        <f t="shared" si="384"/>
        <v>22437.958999999999</v>
      </c>
      <c r="K1566" s="5">
        <f t="shared" si="387"/>
        <v>1247.6623109430607</v>
      </c>
      <c r="L1566" s="5">
        <f t="shared" si="382"/>
        <v>0.36783515416666096</v>
      </c>
      <c r="M1566" s="5">
        <f t="shared" si="385"/>
        <v>0</v>
      </c>
      <c r="N1566" s="5">
        <f t="shared" si="386"/>
        <v>25969.7</v>
      </c>
    </row>
    <row r="1567" spans="1:14" ht="31.5" x14ac:dyDescent="0.25">
      <c r="A1567" s="38">
        <v>24</v>
      </c>
      <c r="B1567" s="34" t="s">
        <v>983</v>
      </c>
      <c r="C1567" s="18">
        <v>24528000000</v>
      </c>
      <c r="D1567" s="32" t="s">
        <v>2655</v>
      </c>
      <c r="E1567" s="5">
        <v>9.3149999999999995</v>
      </c>
      <c r="F1567" s="5">
        <v>3.0000000000000001E-3</v>
      </c>
      <c r="G1567" s="5">
        <f t="shared" si="383"/>
        <v>9.3179999999999996</v>
      </c>
      <c r="H1567" s="49">
        <v>19880.297999999999</v>
      </c>
      <c r="I1567" s="49">
        <f>(-207.1-5.3-174.6-1359.1-100.1)*0.6</f>
        <v>-1107.7199999999998</v>
      </c>
      <c r="J1567" s="5">
        <f t="shared" si="384"/>
        <v>18772.577999999998</v>
      </c>
      <c r="K1567" s="5">
        <f t="shared" si="387"/>
        <v>2014.657437218287</v>
      </c>
      <c r="L1567" s="5">
        <f t="shared" si="382"/>
        <v>0.59396025872742608</v>
      </c>
      <c r="M1567" s="5">
        <f t="shared" si="385"/>
        <v>0</v>
      </c>
      <c r="N1567" s="5">
        <f t="shared" si="386"/>
        <v>7738.1</v>
      </c>
    </row>
    <row r="1568" spans="1:14" ht="31.5" x14ac:dyDescent="0.25">
      <c r="A1568" s="38">
        <v>24</v>
      </c>
      <c r="B1568" s="34" t="s">
        <v>985</v>
      </c>
      <c r="C1568" s="18">
        <v>24529000000</v>
      </c>
      <c r="D1568" s="32" t="s">
        <v>2656</v>
      </c>
      <c r="E1568" s="5">
        <v>7.4459999999999997</v>
      </c>
      <c r="F1568" s="5">
        <v>3.0000000000000001E-3</v>
      </c>
      <c r="G1568" s="5">
        <f t="shared" si="383"/>
        <v>7.4489999999999998</v>
      </c>
      <c r="H1568" s="49">
        <v>10573.388999999999</v>
      </c>
      <c r="I1568" s="49"/>
      <c r="J1568" s="5">
        <f t="shared" si="384"/>
        <v>10573.388999999999</v>
      </c>
      <c r="K1568" s="5">
        <f t="shared" si="387"/>
        <v>1419.4373741441802</v>
      </c>
      <c r="L1568" s="5">
        <f t="shared" si="382"/>
        <v>0.41847778903699911</v>
      </c>
      <c r="M1568" s="5">
        <f t="shared" si="385"/>
        <v>0</v>
      </c>
      <c r="N1568" s="5">
        <f t="shared" si="386"/>
        <v>9733</v>
      </c>
    </row>
    <row r="1569" spans="1:14" ht="31.5" x14ac:dyDescent="0.25">
      <c r="A1569" s="38">
        <v>24</v>
      </c>
      <c r="B1569" s="34" t="s">
        <v>984</v>
      </c>
      <c r="C1569" s="18">
        <v>24530000000</v>
      </c>
      <c r="D1569" s="32" t="s">
        <v>2657</v>
      </c>
      <c r="E1569" s="5">
        <v>6.25</v>
      </c>
      <c r="F1569" s="5">
        <v>3.0000000000000001E-3</v>
      </c>
      <c r="G1569" s="5">
        <f t="shared" si="383"/>
        <v>6.2530000000000001</v>
      </c>
      <c r="H1569" s="49">
        <v>4920.9939999999997</v>
      </c>
      <c r="I1569" s="49"/>
      <c r="J1569" s="5">
        <f t="shared" si="384"/>
        <v>4920.9939999999997</v>
      </c>
      <c r="K1569" s="5">
        <f t="shared" si="387"/>
        <v>786.98128898128891</v>
      </c>
      <c r="L1569" s="5">
        <f t="shared" si="382"/>
        <v>0.23201741466399148</v>
      </c>
      <c r="M1569" s="5">
        <f t="shared" si="385"/>
        <v>0</v>
      </c>
      <c r="N1569" s="5">
        <f t="shared" si="386"/>
        <v>11334.1</v>
      </c>
    </row>
    <row r="1570" spans="1:14" ht="15.75" x14ac:dyDescent="0.25">
      <c r="A1570" s="38">
        <v>24</v>
      </c>
      <c r="B1570" s="34" t="s">
        <v>983</v>
      </c>
      <c r="C1570" s="18">
        <v>24531000000</v>
      </c>
      <c r="D1570" s="32" t="s">
        <v>2658</v>
      </c>
      <c r="E1570" s="5">
        <v>18.155999999999999</v>
      </c>
      <c r="F1570" s="5">
        <v>3.1E-2</v>
      </c>
      <c r="G1570" s="5">
        <f t="shared" si="383"/>
        <v>18.186999999999998</v>
      </c>
      <c r="H1570" s="49">
        <v>40305.800999999999</v>
      </c>
      <c r="I1570" s="49"/>
      <c r="J1570" s="5">
        <f t="shared" si="384"/>
        <v>40305.800999999999</v>
      </c>
      <c r="K1570" s="5">
        <f t="shared" si="387"/>
        <v>2216.1874415791503</v>
      </c>
      <c r="L1570" s="5">
        <f t="shared" si="382"/>
        <v>0.65337522988837593</v>
      </c>
      <c r="M1570" s="5">
        <f t="shared" si="385"/>
        <v>0</v>
      </c>
      <c r="N1570" s="5">
        <f t="shared" si="386"/>
        <v>12171.1</v>
      </c>
    </row>
    <row r="1571" spans="1:14" ht="15.75" x14ac:dyDescent="0.25">
      <c r="A1571" s="38">
        <v>24</v>
      </c>
      <c r="B1571" s="34" t="s">
        <v>984</v>
      </c>
      <c r="C1571" s="18">
        <v>24532000000</v>
      </c>
      <c r="D1571" s="32" t="s">
        <v>2659</v>
      </c>
      <c r="E1571" s="5">
        <v>10.159000000000001</v>
      </c>
      <c r="F1571" s="5">
        <v>8.9999999999999993E-3</v>
      </c>
      <c r="G1571" s="5">
        <f t="shared" si="383"/>
        <v>10.168000000000001</v>
      </c>
      <c r="H1571" s="49">
        <v>9309.3250000000007</v>
      </c>
      <c r="I1571" s="49">
        <f>(82.959)*0.6</f>
        <v>49.775399999999998</v>
      </c>
      <c r="J1571" s="5">
        <f t="shared" si="384"/>
        <v>9359.1004000000012</v>
      </c>
      <c r="K1571" s="5">
        <f t="shared" si="387"/>
        <v>920.44653815893003</v>
      </c>
      <c r="L1571" s="5">
        <f t="shared" ref="L1571:L1592" si="388">K1571/$K$1659</f>
        <v>0.27136557007155665</v>
      </c>
      <c r="M1571" s="5">
        <f t="shared" si="385"/>
        <v>0</v>
      </c>
      <c r="N1571" s="5">
        <f t="shared" si="386"/>
        <v>17344.7</v>
      </c>
    </row>
    <row r="1572" spans="1:14" ht="31.5" x14ac:dyDescent="0.25">
      <c r="A1572" s="38">
        <v>24</v>
      </c>
      <c r="B1572" s="34" t="s">
        <v>986</v>
      </c>
      <c r="C1572" s="18">
        <v>24533000000</v>
      </c>
      <c r="D1572" s="32" t="s">
        <v>3142</v>
      </c>
      <c r="E1572" s="5">
        <v>10.59</v>
      </c>
      <c r="F1572" s="5">
        <v>0.01</v>
      </c>
      <c r="G1572" s="5">
        <f t="shared" ref="G1572:G1591" si="389">F1572+E1572</f>
        <v>10.6</v>
      </c>
      <c r="H1572" s="49">
        <v>40613.225999999995</v>
      </c>
      <c r="I1572" s="49"/>
      <c r="J1572" s="5">
        <f t="shared" si="384"/>
        <v>40613.225999999995</v>
      </c>
      <c r="K1572" s="5">
        <f t="shared" si="387"/>
        <v>3831.4364150943393</v>
      </c>
      <c r="L1572" s="5">
        <f t="shared" si="388"/>
        <v>1.1295820928987754</v>
      </c>
      <c r="M1572" s="5">
        <f t="shared" ref="M1572:M1591" si="390">ROUND(IF(L1572&lt;110%,0,(K1572-$K$1659*1.1)*0.5)*G1572,1)</f>
        <v>531.79999999999995</v>
      </c>
      <c r="N1572" s="5">
        <f t="shared" ref="N1572:N1591" si="391">ROUND(IF(L1572&gt;90%,0,(-K1572+$K$1659*0.9)*0.8)*G1572,1)</f>
        <v>0</v>
      </c>
    </row>
    <row r="1573" spans="1:14" ht="31.5" x14ac:dyDescent="0.25">
      <c r="A1573" s="38">
        <v>24</v>
      </c>
      <c r="B1573" s="34" t="s">
        <v>984</v>
      </c>
      <c r="C1573" s="18">
        <v>24534000000</v>
      </c>
      <c r="D1573" s="32" t="s">
        <v>3143</v>
      </c>
      <c r="E1573" s="5">
        <v>14.337</v>
      </c>
      <c r="F1573" s="5">
        <v>1.7999999999999999E-2</v>
      </c>
      <c r="G1573" s="5">
        <f t="shared" si="389"/>
        <v>14.355</v>
      </c>
      <c r="H1573" s="49">
        <v>8417.2780000000002</v>
      </c>
      <c r="I1573" s="49"/>
      <c r="J1573" s="5">
        <f t="shared" si="384"/>
        <v>8417.2780000000002</v>
      </c>
      <c r="K1573" s="5">
        <f t="shared" si="387"/>
        <v>586.36558690351796</v>
      </c>
      <c r="L1573" s="5">
        <f t="shared" si="388"/>
        <v>0.17287199762702729</v>
      </c>
      <c r="M1573" s="5">
        <f t="shared" si="390"/>
        <v>0</v>
      </c>
      <c r="N1573" s="5">
        <f t="shared" si="391"/>
        <v>28323.599999999999</v>
      </c>
    </row>
    <row r="1574" spans="1:14" ht="31.5" x14ac:dyDescent="0.25">
      <c r="A1574" s="38">
        <v>24</v>
      </c>
      <c r="B1574" s="34" t="s">
        <v>984</v>
      </c>
      <c r="C1574" s="18">
        <v>24535000000</v>
      </c>
      <c r="D1574" s="32" t="s">
        <v>3144</v>
      </c>
      <c r="E1574" s="5">
        <v>4.4390000000000001</v>
      </c>
      <c r="F1574" s="5">
        <v>0</v>
      </c>
      <c r="G1574" s="5">
        <f t="shared" si="389"/>
        <v>4.4390000000000001</v>
      </c>
      <c r="H1574" s="49">
        <v>3242.5630000000001</v>
      </c>
      <c r="I1574" s="49"/>
      <c r="J1574" s="5">
        <f t="shared" si="384"/>
        <v>3242.5630000000001</v>
      </c>
      <c r="K1574" s="5">
        <f t="shared" si="387"/>
        <v>730.47150259067359</v>
      </c>
      <c r="L1574" s="5">
        <f t="shared" si="388"/>
        <v>0.21535722880552349</v>
      </c>
      <c r="M1574" s="5">
        <f t="shared" si="390"/>
        <v>0</v>
      </c>
      <c r="N1574" s="5">
        <f t="shared" si="391"/>
        <v>8246.7999999999993</v>
      </c>
    </row>
    <row r="1575" spans="1:14" ht="31.5" x14ac:dyDescent="0.25">
      <c r="A1575" s="38">
        <v>24</v>
      </c>
      <c r="B1575" s="34" t="s">
        <v>984</v>
      </c>
      <c r="C1575" s="18">
        <v>24536000000</v>
      </c>
      <c r="D1575" s="32" t="s">
        <v>3145</v>
      </c>
      <c r="E1575" s="5">
        <v>7.9050000000000002</v>
      </c>
      <c r="F1575" s="5">
        <v>0</v>
      </c>
      <c r="G1575" s="5">
        <f t="shared" si="389"/>
        <v>7.9050000000000002</v>
      </c>
      <c r="H1575" s="49">
        <v>4967.3100000000004</v>
      </c>
      <c r="I1575" s="49"/>
      <c r="J1575" s="5">
        <f t="shared" si="384"/>
        <v>4967.3100000000004</v>
      </c>
      <c r="K1575" s="5">
        <f t="shared" si="387"/>
        <v>628.37571157495256</v>
      </c>
      <c r="L1575" s="5">
        <f t="shared" si="388"/>
        <v>0.18525740075217068</v>
      </c>
      <c r="M1575" s="5">
        <f t="shared" si="390"/>
        <v>0</v>
      </c>
      <c r="N1575" s="5">
        <f t="shared" si="391"/>
        <v>15331.5</v>
      </c>
    </row>
    <row r="1576" spans="1:14" ht="31.5" x14ac:dyDescent="0.25">
      <c r="A1576" s="38">
        <v>24</v>
      </c>
      <c r="B1576" s="34" t="s">
        <v>984</v>
      </c>
      <c r="C1576" s="18">
        <v>24537000000</v>
      </c>
      <c r="D1576" s="32" t="s">
        <v>3146</v>
      </c>
      <c r="E1576" s="5">
        <v>7.87</v>
      </c>
      <c r="F1576" s="5">
        <v>4.0000000000000001E-3</v>
      </c>
      <c r="G1576" s="5">
        <f t="shared" si="389"/>
        <v>7.8739999999999997</v>
      </c>
      <c r="H1576" s="49">
        <v>6888.8739999999998</v>
      </c>
      <c r="I1576" s="49">
        <f>(100.1)*0.6</f>
        <v>60.059999999999995</v>
      </c>
      <c r="J1576" s="5">
        <f t="shared" si="384"/>
        <v>6948.9340000000002</v>
      </c>
      <c r="K1576" s="5">
        <f t="shared" si="387"/>
        <v>882.51638303276616</v>
      </c>
      <c r="L1576" s="5">
        <f t="shared" si="388"/>
        <v>0.2601830214476008</v>
      </c>
      <c r="M1576" s="5">
        <f t="shared" si="390"/>
        <v>0</v>
      </c>
      <c r="N1576" s="5">
        <f t="shared" si="391"/>
        <v>13670.5</v>
      </c>
    </row>
    <row r="1577" spans="1:14" ht="31.5" x14ac:dyDescent="0.25">
      <c r="A1577" s="38">
        <v>24</v>
      </c>
      <c r="B1577" s="34" t="s">
        <v>984</v>
      </c>
      <c r="C1577" s="18">
        <v>24538000000</v>
      </c>
      <c r="D1577" s="32" t="s">
        <v>2665</v>
      </c>
      <c r="E1577" s="5">
        <v>7.3579999999999997</v>
      </c>
      <c r="F1577" s="5">
        <v>1E-3</v>
      </c>
      <c r="G1577" s="5">
        <f t="shared" si="389"/>
        <v>7.359</v>
      </c>
      <c r="H1577" s="49">
        <v>4745.4430000000002</v>
      </c>
      <c r="I1577" s="49"/>
      <c r="J1577" s="5">
        <f t="shared" ref="J1577:J1591" si="392">H1577+I1577</f>
        <v>4745.4430000000002</v>
      </c>
      <c r="K1577" s="5">
        <f t="shared" ref="K1577:K1591" si="393">J1577/G1577</f>
        <v>644.84889251256971</v>
      </c>
      <c r="L1577" s="5">
        <f t="shared" si="388"/>
        <v>0.19011401539593883</v>
      </c>
      <c r="M1577" s="5">
        <f t="shared" si="390"/>
        <v>0</v>
      </c>
      <c r="N1577" s="5">
        <f t="shared" si="391"/>
        <v>14175.6</v>
      </c>
    </row>
    <row r="1578" spans="1:14" ht="31.5" x14ac:dyDescent="0.25">
      <c r="A1578" s="38">
        <v>24</v>
      </c>
      <c r="B1578" s="34" t="s">
        <v>985</v>
      </c>
      <c r="C1578" s="18">
        <v>24539000000</v>
      </c>
      <c r="D1578" s="32" t="s">
        <v>2666</v>
      </c>
      <c r="E1578" s="5">
        <v>18.387</v>
      </c>
      <c r="F1578" s="5">
        <v>1.4E-2</v>
      </c>
      <c r="G1578" s="5">
        <f t="shared" si="389"/>
        <v>18.401</v>
      </c>
      <c r="H1578" s="49">
        <v>24607.755000000001</v>
      </c>
      <c r="I1578" s="49"/>
      <c r="J1578" s="5">
        <f t="shared" si="392"/>
        <v>24607.755000000001</v>
      </c>
      <c r="K1578" s="5">
        <f t="shared" si="393"/>
        <v>1337.3053094940492</v>
      </c>
      <c r="L1578" s="5">
        <f t="shared" si="388"/>
        <v>0.39426365641663352</v>
      </c>
      <c r="M1578" s="5">
        <f t="shared" si="390"/>
        <v>0</v>
      </c>
      <c r="N1578" s="5">
        <f t="shared" si="391"/>
        <v>25252.2</v>
      </c>
    </row>
    <row r="1579" spans="1:14" ht="15.75" x14ac:dyDescent="0.25">
      <c r="A1579" s="38">
        <v>24</v>
      </c>
      <c r="B1579" s="34" t="s">
        <v>984</v>
      </c>
      <c r="C1579" s="18">
        <v>24540000000</v>
      </c>
      <c r="D1579" s="32" t="s">
        <v>2667</v>
      </c>
      <c r="E1579" s="5">
        <v>6.4160000000000004</v>
      </c>
      <c r="F1579" s="5">
        <v>1E-3</v>
      </c>
      <c r="G1579" s="5">
        <f t="shared" si="389"/>
        <v>6.4170000000000007</v>
      </c>
      <c r="H1579" s="49">
        <v>5369.8879999999999</v>
      </c>
      <c r="I1579" s="49"/>
      <c r="J1579" s="5">
        <f t="shared" si="392"/>
        <v>5369.8879999999999</v>
      </c>
      <c r="K1579" s="5">
        <f t="shared" si="393"/>
        <v>836.82219105501008</v>
      </c>
      <c r="L1579" s="5">
        <f t="shared" si="388"/>
        <v>0.24671148351362698</v>
      </c>
      <c r="M1579" s="5">
        <f t="shared" si="390"/>
        <v>0</v>
      </c>
      <c r="N1579" s="5">
        <f t="shared" si="391"/>
        <v>11375.5</v>
      </c>
    </row>
    <row r="1580" spans="1:14" ht="31.5" x14ac:dyDescent="0.25">
      <c r="A1580" s="38">
        <v>24</v>
      </c>
      <c r="B1580" s="34" t="s">
        <v>984</v>
      </c>
      <c r="C1580" s="18">
        <v>24541000000</v>
      </c>
      <c r="D1580" s="32" t="s">
        <v>2668</v>
      </c>
      <c r="E1580" s="5">
        <v>9.2590000000000003</v>
      </c>
      <c r="F1580" s="5">
        <v>3.0000000000000001E-3</v>
      </c>
      <c r="G1580" s="5">
        <f t="shared" si="389"/>
        <v>9.2620000000000005</v>
      </c>
      <c r="H1580" s="49">
        <v>7021.0119999999997</v>
      </c>
      <c r="I1580" s="49"/>
      <c r="J1580" s="5">
        <f t="shared" si="392"/>
        <v>7021.0119999999997</v>
      </c>
      <c r="K1580" s="5">
        <f t="shared" si="393"/>
        <v>758.04491470524715</v>
      </c>
      <c r="L1580" s="5">
        <f t="shared" si="388"/>
        <v>0.22348640783666593</v>
      </c>
      <c r="M1580" s="5">
        <f t="shared" si="390"/>
        <v>0</v>
      </c>
      <c r="N1580" s="5">
        <f t="shared" si="391"/>
        <v>17002.599999999999</v>
      </c>
    </row>
    <row r="1581" spans="1:14" ht="31.5" x14ac:dyDescent="0.25">
      <c r="A1581" s="38">
        <v>24</v>
      </c>
      <c r="B1581" s="34" t="s">
        <v>984</v>
      </c>
      <c r="C1581" s="18">
        <v>24542000000</v>
      </c>
      <c r="D1581" s="32" t="s">
        <v>2669</v>
      </c>
      <c r="E1581" s="5">
        <v>8.0690000000000008</v>
      </c>
      <c r="F1581" s="5">
        <v>0</v>
      </c>
      <c r="G1581" s="5">
        <f t="shared" si="389"/>
        <v>8.0690000000000008</v>
      </c>
      <c r="H1581" s="49">
        <v>8987.9269999999997</v>
      </c>
      <c r="I1581" s="49"/>
      <c r="J1581" s="5">
        <f t="shared" si="392"/>
        <v>8987.9269999999997</v>
      </c>
      <c r="K1581" s="5">
        <f t="shared" si="393"/>
        <v>1113.8836287024412</v>
      </c>
      <c r="L1581" s="5">
        <f t="shared" si="388"/>
        <v>0.32839459258634346</v>
      </c>
      <c r="M1581" s="5">
        <f t="shared" si="390"/>
        <v>0</v>
      </c>
      <c r="N1581" s="5">
        <f t="shared" si="391"/>
        <v>12515.5</v>
      </c>
    </row>
    <row r="1582" spans="1:14" ht="31.5" x14ac:dyDescent="0.25">
      <c r="A1582" s="38">
        <v>24</v>
      </c>
      <c r="B1582" s="34" t="s">
        <v>984</v>
      </c>
      <c r="C1582" s="18">
        <v>24543000000</v>
      </c>
      <c r="D1582" s="32" t="s">
        <v>2670</v>
      </c>
      <c r="E1582" s="5">
        <v>5.7839999999999998</v>
      </c>
      <c r="F1582" s="5">
        <v>0</v>
      </c>
      <c r="G1582" s="5">
        <f t="shared" si="389"/>
        <v>5.7839999999999998</v>
      </c>
      <c r="H1582" s="49">
        <v>4065.7939999999999</v>
      </c>
      <c r="I1582" s="49"/>
      <c r="J1582" s="5">
        <f t="shared" si="392"/>
        <v>4065.7939999999999</v>
      </c>
      <c r="K1582" s="5">
        <f t="shared" si="393"/>
        <v>702.93810511756567</v>
      </c>
      <c r="L1582" s="5">
        <f t="shared" si="388"/>
        <v>0.2072398468701844</v>
      </c>
      <c r="M1582" s="5">
        <f t="shared" si="390"/>
        <v>0</v>
      </c>
      <c r="N1582" s="5">
        <f t="shared" si="391"/>
        <v>10872.9</v>
      </c>
    </row>
    <row r="1583" spans="1:14" ht="31.5" x14ac:dyDescent="0.25">
      <c r="A1583" s="38">
        <v>24</v>
      </c>
      <c r="B1583" s="34" t="s">
        <v>984</v>
      </c>
      <c r="C1583" s="18">
        <v>24544000000</v>
      </c>
      <c r="D1583" s="32" t="s">
        <v>2835</v>
      </c>
      <c r="E1583" s="5">
        <v>10.101000000000001</v>
      </c>
      <c r="F1583" s="5">
        <v>2.5000000000000001E-2</v>
      </c>
      <c r="G1583" s="5">
        <f t="shared" si="389"/>
        <v>10.126000000000001</v>
      </c>
      <c r="H1583" s="49">
        <v>7501.0370000000003</v>
      </c>
      <c r="I1583" s="49"/>
      <c r="J1583" s="5">
        <f t="shared" si="392"/>
        <v>7501.0370000000003</v>
      </c>
      <c r="K1583" s="5">
        <f t="shared" si="393"/>
        <v>740.76999802488638</v>
      </c>
      <c r="L1583" s="5">
        <f t="shared" si="388"/>
        <v>0.21839342587784266</v>
      </c>
      <c r="M1583" s="5">
        <f t="shared" si="390"/>
        <v>0</v>
      </c>
      <c r="N1583" s="5">
        <f t="shared" si="391"/>
        <v>18728.599999999999</v>
      </c>
    </row>
    <row r="1584" spans="1:14" ht="31.5" x14ac:dyDescent="0.25">
      <c r="A1584" s="38">
        <v>24</v>
      </c>
      <c r="B1584" s="34" t="s">
        <v>984</v>
      </c>
      <c r="C1584" s="18">
        <v>24545000000</v>
      </c>
      <c r="D1584" s="32" t="s">
        <v>2836</v>
      </c>
      <c r="E1584" s="5">
        <v>11.1</v>
      </c>
      <c r="F1584" s="5">
        <v>0.02</v>
      </c>
      <c r="G1584" s="5">
        <f t="shared" si="389"/>
        <v>11.12</v>
      </c>
      <c r="H1584" s="49">
        <v>6059.4639999999999</v>
      </c>
      <c r="I1584" s="49">
        <f>(26.58)*0.6</f>
        <v>15.947999999999999</v>
      </c>
      <c r="J1584" s="5">
        <f t="shared" si="392"/>
        <v>6075.4120000000003</v>
      </c>
      <c r="K1584" s="5">
        <f t="shared" si="393"/>
        <v>546.35</v>
      </c>
      <c r="L1584" s="5">
        <f t="shared" si="388"/>
        <v>0.16107462309016299</v>
      </c>
      <c r="M1584" s="5">
        <f t="shared" si="390"/>
        <v>0</v>
      </c>
      <c r="N1584" s="5">
        <f t="shared" si="391"/>
        <v>22296.6</v>
      </c>
    </row>
    <row r="1585" spans="1:14" ht="31.5" x14ac:dyDescent="0.25">
      <c r="A1585" s="38">
        <v>24</v>
      </c>
      <c r="B1585" s="34" t="s">
        <v>985</v>
      </c>
      <c r="C1585" s="18">
        <v>24546000000</v>
      </c>
      <c r="D1585" s="32" t="s">
        <v>2671</v>
      </c>
      <c r="E1585" s="5">
        <v>32.058</v>
      </c>
      <c r="F1585" s="5">
        <v>3.7999999999999999E-2</v>
      </c>
      <c r="G1585" s="5">
        <f t="shared" si="389"/>
        <v>32.095999999999997</v>
      </c>
      <c r="H1585" s="49">
        <v>46811.531000000003</v>
      </c>
      <c r="I1585" s="49"/>
      <c r="J1585" s="5">
        <f t="shared" si="392"/>
        <v>46811.531000000003</v>
      </c>
      <c r="K1585" s="5">
        <f t="shared" si="393"/>
        <v>1458.484889082752</v>
      </c>
      <c r="L1585" s="5">
        <f t="shared" si="388"/>
        <v>0.42998975710021492</v>
      </c>
      <c r="M1585" s="5">
        <f t="shared" si="390"/>
        <v>0</v>
      </c>
      <c r="N1585" s="5">
        <f t="shared" si="391"/>
        <v>40934.699999999997</v>
      </c>
    </row>
    <row r="1586" spans="1:14" ht="31.5" x14ac:dyDescent="0.25">
      <c r="A1586" s="38">
        <v>24</v>
      </c>
      <c r="B1586" s="34" t="s">
        <v>984</v>
      </c>
      <c r="C1586" s="18">
        <v>24547000000</v>
      </c>
      <c r="D1586" s="32" t="s">
        <v>2672</v>
      </c>
      <c r="E1586" s="5">
        <v>6.6790000000000003</v>
      </c>
      <c r="F1586" s="5">
        <v>3.0000000000000001E-3</v>
      </c>
      <c r="G1586" s="5">
        <f t="shared" si="389"/>
        <v>6.6820000000000004</v>
      </c>
      <c r="H1586" s="49">
        <v>6002.7740000000003</v>
      </c>
      <c r="I1586" s="49"/>
      <c r="J1586" s="5">
        <f t="shared" si="392"/>
        <v>6002.7740000000003</v>
      </c>
      <c r="K1586" s="5">
        <f t="shared" si="393"/>
        <v>898.34989524094578</v>
      </c>
      <c r="L1586" s="5">
        <f t="shared" si="388"/>
        <v>0.26485104928895897</v>
      </c>
      <c r="M1586" s="5">
        <f t="shared" si="390"/>
        <v>0</v>
      </c>
      <c r="N1586" s="5">
        <f t="shared" si="391"/>
        <v>11516.4</v>
      </c>
    </row>
    <row r="1587" spans="1:14" ht="31.5" x14ac:dyDescent="0.25">
      <c r="A1587" s="38">
        <v>24</v>
      </c>
      <c r="B1587" s="34" t="s">
        <v>984</v>
      </c>
      <c r="C1587" s="18">
        <v>24548000000</v>
      </c>
      <c r="D1587" s="32" t="s">
        <v>2673</v>
      </c>
      <c r="E1587" s="5">
        <v>8.1340000000000003</v>
      </c>
      <c r="F1587" s="5">
        <v>0</v>
      </c>
      <c r="G1587" s="5">
        <f t="shared" si="389"/>
        <v>8.1340000000000003</v>
      </c>
      <c r="H1587" s="49">
        <v>4370.6139999999996</v>
      </c>
      <c r="I1587" s="49"/>
      <c r="J1587" s="5">
        <f t="shared" si="392"/>
        <v>4370.6139999999996</v>
      </c>
      <c r="K1587" s="5">
        <f t="shared" si="393"/>
        <v>537.32653061224482</v>
      </c>
      <c r="L1587" s="5">
        <f t="shared" si="388"/>
        <v>0.15841432853429532</v>
      </c>
      <c r="M1587" s="5">
        <f t="shared" si="390"/>
        <v>0</v>
      </c>
      <c r="N1587" s="5">
        <f t="shared" si="391"/>
        <v>16368.1</v>
      </c>
    </row>
    <row r="1588" spans="1:14" ht="31.5" x14ac:dyDescent="0.25">
      <c r="A1588" s="38">
        <v>24</v>
      </c>
      <c r="B1588" s="34" t="s">
        <v>985</v>
      </c>
      <c r="C1588" s="18">
        <v>24549000000</v>
      </c>
      <c r="D1588" s="32" t="s">
        <v>2674</v>
      </c>
      <c r="E1588" s="5">
        <v>11.289</v>
      </c>
      <c r="F1588" s="5">
        <v>3.0000000000000001E-3</v>
      </c>
      <c r="G1588" s="5">
        <f t="shared" si="389"/>
        <v>11.292</v>
      </c>
      <c r="H1588" s="49">
        <v>24584.269</v>
      </c>
      <c r="I1588" s="49"/>
      <c r="J1588" s="5">
        <f t="shared" si="392"/>
        <v>24584.269</v>
      </c>
      <c r="K1588" s="5">
        <f t="shared" si="393"/>
        <v>2177.1403648600781</v>
      </c>
      <c r="L1588" s="5">
        <f t="shared" si="388"/>
        <v>0.64186339102080525</v>
      </c>
      <c r="M1588" s="5">
        <f t="shared" si="390"/>
        <v>0</v>
      </c>
      <c r="N1588" s="5">
        <f t="shared" si="391"/>
        <v>7909.6</v>
      </c>
    </row>
    <row r="1589" spans="1:14" ht="31.5" x14ac:dyDescent="0.25">
      <c r="A1589" s="38">
        <v>24</v>
      </c>
      <c r="B1589" s="34" t="s">
        <v>984</v>
      </c>
      <c r="C1589" s="18">
        <v>24550000000</v>
      </c>
      <c r="D1589" s="32" t="s">
        <v>2675</v>
      </c>
      <c r="E1589" s="5">
        <v>7.593</v>
      </c>
      <c r="F1589" s="5">
        <v>2E-3</v>
      </c>
      <c r="G1589" s="5">
        <f t="shared" si="389"/>
        <v>7.5949999999999998</v>
      </c>
      <c r="H1589" s="49">
        <v>5233.5420000000004</v>
      </c>
      <c r="I1589" s="49"/>
      <c r="J1589" s="5">
        <f t="shared" si="392"/>
        <v>5233.5420000000004</v>
      </c>
      <c r="K1589" s="5">
        <f t="shared" si="393"/>
        <v>689.07728768926938</v>
      </c>
      <c r="L1589" s="5">
        <f t="shared" si="388"/>
        <v>0.20315340787872402</v>
      </c>
      <c r="M1589" s="5">
        <f t="shared" si="390"/>
        <v>0</v>
      </c>
      <c r="N1589" s="5">
        <f t="shared" si="391"/>
        <v>14361.5</v>
      </c>
    </row>
    <row r="1590" spans="1:14" ht="31.5" x14ac:dyDescent="0.25">
      <c r="A1590" s="38">
        <v>24</v>
      </c>
      <c r="B1590" s="34" t="s">
        <v>984</v>
      </c>
      <c r="C1590" s="18">
        <v>24551000000</v>
      </c>
      <c r="D1590" s="32" t="s">
        <v>2676</v>
      </c>
      <c r="E1590" s="5">
        <v>11.606</v>
      </c>
      <c r="F1590" s="5">
        <v>3.0000000000000001E-3</v>
      </c>
      <c r="G1590" s="5">
        <f t="shared" si="389"/>
        <v>11.609</v>
      </c>
      <c r="H1590" s="49">
        <v>6060.5919999999996</v>
      </c>
      <c r="I1590" s="49"/>
      <c r="J1590" s="5">
        <f t="shared" si="392"/>
        <v>6060.5919999999996</v>
      </c>
      <c r="K1590" s="5">
        <f t="shared" si="393"/>
        <v>522.05978120423811</v>
      </c>
      <c r="L1590" s="5">
        <f t="shared" si="388"/>
        <v>0.15391339340716684</v>
      </c>
      <c r="M1590" s="5">
        <f t="shared" si="390"/>
        <v>0</v>
      </c>
      <c r="N1590" s="5">
        <f t="shared" si="391"/>
        <v>23502.7</v>
      </c>
    </row>
    <row r="1591" spans="1:14" ht="15.75" x14ac:dyDescent="0.25">
      <c r="A1591" s="38">
        <v>24</v>
      </c>
      <c r="B1591" s="34" t="s">
        <v>986</v>
      </c>
      <c r="C1591" s="18">
        <v>24552000000</v>
      </c>
      <c r="D1591" s="32" t="s">
        <v>2677</v>
      </c>
      <c r="E1591" s="5">
        <v>270.57799999999997</v>
      </c>
      <c r="F1591" s="5">
        <v>1.643</v>
      </c>
      <c r="G1591" s="5">
        <f t="shared" si="389"/>
        <v>272.22099999999995</v>
      </c>
      <c r="H1591" s="49">
        <v>1003050.621</v>
      </c>
      <c r="I1591" s="49">
        <f>(36.1+23.253-171.438-116.641-82.959-44.965-41.308-26.58-18.963-9.59-7.028-3.545-2.554-1.428-1.205-154.677-12.895)*0.6</f>
        <v>-381.85379999999992</v>
      </c>
      <c r="J1591" s="5">
        <f t="shared" si="392"/>
        <v>1002668.7672</v>
      </c>
      <c r="K1591" s="5">
        <f t="shared" si="393"/>
        <v>3683.2895595857785</v>
      </c>
      <c r="L1591" s="5">
        <f t="shared" si="388"/>
        <v>1.085905513942</v>
      </c>
      <c r="M1591" s="5">
        <f t="shared" si="390"/>
        <v>0</v>
      </c>
      <c r="N1591" s="5">
        <f t="shared" si="391"/>
        <v>0</v>
      </c>
    </row>
    <row r="1592" spans="1:14" ht="15.75" x14ac:dyDescent="0.25">
      <c r="A1592" s="36">
        <v>25</v>
      </c>
      <c r="B1592" s="17" t="s">
        <v>7</v>
      </c>
      <c r="C1592" s="17" t="s">
        <v>826</v>
      </c>
      <c r="D1592" s="11" t="s">
        <v>26</v>
      </c>
      <c r="E1592" s="11">
        <f t="shared" ref="E1592:J1592" si="394">E1593+E1594+E1600</f>
        <v>976.70099999999979</v>
      </c>
      <c r="F1592" s="11">
        <f t="shared" si="394"/>
        <v>7.3330000000000002</v>
      </c>
      <c r="G1592" s="11">
        <f t="shared" si="394"/>
        <v>983.75900000000001</v>
      </c>
      <c r="H1592" s="11">
        <f t="shared" si="394"/>
        <v>3292669.28639</v>
      </c>
      <c r="I1592" s="11">
        <f t="shared" si="394"/>
        <v>-1523.6775720000001</v>
      </c>
      <c r="J1592" s="11">
        <f t="shared" si="394"/>
        <v>3291145.6088180002</v>
      </c>
      <c r="K1592" s="11">
        <f t="shared" si="387"/>
        <v>3345.4795420606065</v>
      </c>
      <c r="L1592" s="11">
        <f t="shared" si="388"/>
        <v>0.98631254011762282</v>
      </c>
      <c r="M1592" s="11">
        <f>M1593+M1594+M1600</f>
        <v>116176.59999999999</v>
      </c>
      <c r="N1592" s="11">
        <f>N1593+N1594+N1600</f>
        <v>229253</v>
      </c>
    </row>
    <row r="1593" spans="1:14" ht="15.75" x14ac:dyDescent="0.25">
      <c r="A1593" s="38">
        <v>25</v>
      </c>
      <c r="B1593" s="34" t="s">
        <v>6</v>
      </c>
      <c r="C1593" s="18" t="s">
        <v>217</v>
      </c>
      <c r="D1593" s="32" t="s">
        <v>864</v>
      </c>
      <c r="E1593" s="5">
        <v>0</v>
      </c>
      <c r="F1593" s="5">
        <v>0.27500000000000002</v>
      </c>
      <c r="G1593" s="5"/>
      <c r="H1593" s="49"/>
      <c r="I1593" s="49"/>
      <c r="J1593" s="5"/>
      <c r="K1593" s="5"/>
      <c r="L1593" s="5"/>
      <c r="M1593" s="5"/>
      <c r="N1593" s="5"/>
    </row>
    <row r="1594" spans="1:14" ht="15.75" x14ac:dyDescent="0.25">
      <c r="A1594" s="37">
        <v>25</v>
      </c>
      <c r="B1594" s="19" t="s">
        <v>5</v>
      </c>
      <c r="C1594" s="19" t="s">
        <v>827</v>
      </c>
      <c r="D1594" s="7" t="s">
        <v>2818</v>
      </c>
      <c r="E1594" s="7">
        <f t="shared" ref="E1594:J1594" si="395">SUM(E1595:E1599)</f>
        <v>0</v>
      </c>
      <c r="F1594" s="7">
        <f t="shared" si="395"/>
        <v>0</v>
      </c>
      <c r="G1594" s="7">
        <f t="shared" si="395"/>
        <v>0</v>
      </c>
      <c r="H1594" s="7">
        <f t="shared" si="395"/>
        <v>0</v>
      </c>
      <c r="I1594" s="7">
        <f t="shared" si="395"/>
        <v>0</v>
      </c>
      <c r="J1594" s="7">
        <f t="shared" si="395"/>
        <v>0</v>
      </c>
      <c r="K1594" s="7" t="e">
        <f>J1594/G1594</f>
        <v>#DIV/0!</v>
      </c>
      <c r="L1594" s="7" t="e">
        <f>K1594/$K$1659</f>
        <v>#DIV/0!</v>
      </c>
      <c r="M1594" s="7">
        <f>SUM(M1595:M1599)</f>
        <v>0</v>
      </c>
      <c r="N1594" s="7">
        <f>SUM(N1595:N1599)</f>
        <v>0</v>
      </c>
    </row>
    <row r="1595" spans="1:14" ht="15.75" x14ac:dyDescent="0.25">
      <c r="A1595" s="38">
        <v>25</v>
      </c>
      <c r="B1595" s="34" t="s">
        <v>4</v>
      </c>
      <c r="C1595" s="18" t="s">
        <v>2765</v>
      </c>
      <c r="D1595" s="32" t="s">
        <v>2766</v>
      </c>
      <c r="E1595" s="5"/>
      <c r="F1595" s="5"/>
      <c r="G1595" s="5"/>
      <c r="H1595" s="49"/>
      <c r="I1595" s="49"/>
      <c r="J1595" s="5"/>
      <c r="K1595" s="5"/>
      <c r="L1595" s="5"/>
      <c r="M1595" s="5"/>
      <c r="N1595" s="5"/>
    </row>
    <row r="1596" spans="1:14" ht="15.75" x14ac:dyDescent="0.25">
      <c r="A1596" s="38">
        <v>25</v>
      </c>
      <c r="B1596" s="34" t="s">
        <v>4</v>
      </c>
      <c r="C1596" s="18" t="s">
        <v>218</v>
      </c>
      <c r="D1596" s="32" t="s">
        <v>967</v>
      </c>
      <c r="E1596" s="5"/>
      <c r="F1596" s="5"/>
      <c r="G1596" s="5"/>
      <c r="H1596" s="49"/>
      <c r="I1596" s="49"/>
      <c r="J1596" s="5"/>
      <c r="K1596" s="5"/>
      <c r="L1596" s="5"/>
      <c r="M1596" s="5"/>
      <c r="N1596" s="5"/>
    </row>
    <row r="1597" spans="1:14" ht="15.75" x14ac:dyDescent="0.25">
      <c r="A1597" s="38">
        <v>25</v>
      </c>
      <c r="B1597" s="34" t="s">
        <v>4</v>
      </c>
      <c r="C1597" s="18" t="s">
        <v>219</v>
      </c>
      <c r="D1597" s="32" t="s">
        <v>968</v>
      </c>
      <c r="E1597" s="5"/>
      <c r="F1597" s="5"/>
      <c r="G1597" s="5"/>
      <c r="H1597" s="49"/>
      <c r="I1597" s="49"/>
      <c r="J1597" s="5"/>
      <c r="K1597" s="5"/>
      <c r="L1597" s="5"/>
      <c r="M1597" s="5"/>
      <c r="N1597" s="5"/>
    </row>
    <row r="1598" spans="1:14" ht="15.75" x14ac:dyDescent="0.25">
      <c r="A1598" s="38">
        <v>25</v>
      </c>
      <c r="B1598" s="34" t="s">
        <v>4</v>
      </c>
      <c r="C1598" s="18" t="s">
        <v>220</v>
      </c>
      <c r="D1598" s="32" t="s">
        <v>969</v>
      </c>
      <c r="E1598" s="5"/>
      <c r="F1598" s="5"/>
      <c r="G1598" s="5"/>
      <c r="H1598" s="49"/>
      <c r="I1598" s="49"/>
      <c r="J1598" s="5"/>
      <c r="K1598" s="5"/>
      <c r="L1598" s="5"/>
      <c r="M1598" s="5"/>
      <c r="N1598" s="5"/>
    </row>
    <row r="1599" spans="1:14" ht="15.75" x14ac:dyDescent="0.25">
      <c r="A1599" s="38">
        <v>25</v>
      </c>
      <c r="B1599" s="34" t="s">
        <v>4</v>
      </c>
      <c r="C1599" s="18" t="s">
        <v>221</v>
      </c>
      <c r="D1599" s="32" t="s">
        <v>910</v>
      </c>
      <c r="E1599" s="5"/>
      <c r="F1599" s="5"/>
      <c r="G1599" s="5"/>
      <c r="H1599" s="49"/>
      <c r="I1599" s="49"/>
      <c r="J1599" s="5"/>
      <c r="K1599" s="5"/>
      <c r="L1599" s="5"/>
      <c r="M1599" s="5"/>
      <c r="N1599" s="5"/>
    </row>
    <row r="1600" spans="1:14" ht="31.5" x14ac:dyDescent="0.25">
      <c r="A1600" s="37">
        <v>25</v>
      </c>
      <c r="B1600" s="19" t="s">
        <v>28</v>
      </c>
      <c r="C1600" s="19" t="s">
        <v>828</v>
      </c>
      <c r="D1600" s="20" t="s">
        <v>2791</v>
      </c>
      <c r="E1600" s="7">
        <f t="shared" ref="E1600:J1600" si="396">SUM(E1601:E1657)</f>
        <v>976.70099999999979</v>
      </c>
      <c r="F1600" s="7">
        <f t="shared" si="396"/>
        <v>7.0579999999999998</v>
      </c>
      <c r="G1600" s="7">
        <f t="shared" si="396"/>
        <v>983.75900000000001</v>
      </c>
      <c r="H1600" s="7">
        <f t="shared" si="396"/>
        <v>3292669.28639</v>
      </c>
      <c r="I1600" s="7">
        <f t="shared" si="396"/>
        <v>-1523.6775720000001</v>
      </c>
      <c r="J1600" s="7">
        <f t="shared" si="396"/>
        <v>3291145.6088180002</v>
      </c>
      <c r="K1600" s="7">
        <f t="shared" ref="K1600:K1631" si="397">J1600/G1600</f>
        <v>3345.4795420606065</v>
      </c>
      <c r="L1600" s="7">
        <f t="shared" ref="L1600:L1631" si="398">K1600/$K$1659</f>
        <v>0.98631254011762282</v>
      </c>
      <c r="M1600" s="7">
        <f>SUM(M1601:M1657)</f>
        <v>116176.59999999999</v>
      </c>
      <c r="N1600" s="7">
        <f>SUM(N1601:N1657)</f>
        <v>229253</v>
      </c>
    </row>
    <row r="1601" spans="1:14" ht="15.75" x14ac:dyDescent="0.25">
      <c r="A1601" s="38">
        <v>25</v>
      </c>
      <c r="B1601" s="34" t="s">
        <v>984</v>
      </c>
      <c r="C1601" s="18" t="s">
        <v>222</v>
      </c>
      <c r="D1601" s="32" t="s">
        <v>3147</v>
      </c>
      <c r="E1601" s="5">
        <v>8.02</v>
      </c>
      <c r="F1601" s="5">
        <v>1.9E-2</v>
      </c>
      <c r="G1601" s="5">
        <f t="shared" ref="G1601:G1648" si="399">F1601+E1601</f>
        <v>8.0389999999999997</v>
      </c>
      <c r="H1601" s="49">
        <v>19199.93188</v>
      </c>
      <c r="I1601" s="49"/>
      <c r="J1601" s="5">
        <f t="shared" ref="J1601:J1632" si="400">H1601+I1601</f>
        <v>19199.93188</v>
      </c>
      <c r="K1601" s="5">
        <f t="shared" si="397"/>
        <v>2388.3482871003857</v>
      </c>
      <c r="L1601" s="5">
        <f t="shared" si="398"/>
        <v>0.70413160090185956</v>
      </c>
      <c r="M1601" s="5">
        <f t="shared" ref="M1601:M1632" si="401">ROUND(IF(L1601&lt;110%,0,(K1601-$K$1659*1.1)*0.5)*G1601,1)</f>
        <v>0</v>
      </c>
      <c r="N1601" s="5">
        <f t="shared" ref="N1601:N1632" si="402">ROUND(IF(L1601&gt;90%,0,(-K1601+$K$1659*0.9)*0.8)*G1601,1)</f>
        <v>4272.7</v>
      </c>
    </row>
    <row r="1602" spans="1:14" ht="31.5" x14ac:dyDescent="0.25">
      <c r="A1602" s="38">
        <v>25</v>
      </c>
      <c r="B1602" s="34" t="s">
        <v>985</v>
      </c>
      <c r="C1602" s="18" t="s">
        <v>277</v>
      </c>
      <c r="D1602" s="32" t="s">
        <v>3148</v>
      </c>
      <c r="E1602" s="5">
        <v>10.170999999999999</v>
      </c>
      <c r="F1602" s="5">
        <v>5.5E-2</v>
      </c>
      <c r="G1602" s="5">
        <f t="shared" si="399"/>
        <v>10.225999999999999</v>
      </c>
      <c r="H1602" s="49">
        <v>71030.735480000003</v>
      </c>
      <c r="I1602" s="49"/>
      <c r="J1602" s="5">
        <f t="shared" si="400"/>
        <v>71030.735480000003</v>
      </c>
      <c r="K1602" s="5">
        <f t="shared" si="397"/>
        <v>6946.0918716995902</v>
      </c>
      <c r="L1602" s="5">
        <f t="shared" si="398"/>
        <v>2.0478431960897887</v>
      </c>
      <c r="M1602" s="5">
        <f t="shared" si="401"/>
        <v>16438.3</v>
      </c>
      <c r="N1602" s="5">
        <f t="shared" si="402"/>
        <v>0</v>
      </c>
    </row>
    <row r="1603" spans="1:14" ht="15.75" x14ac:dyDescent="0.25">
      <c r="A1603" s="38">
        <v>25</v>
      </c>
      <c r="B1603" s="34" t="s">
        <v>984</v>
      </c>
      <c r="C1603" s="18" t="s">
        <v>278</v>
      </c>
      <c r="D1603" s="32" t="s">
        <v>2680</v>
      </c>
      <c r="E1603" s="5">
        <v>5.5780000000000003</v>
      </c>
      <c r="F1603" s="5">
        <v>2.8000000000000001E-2</v>
      </c>
      <c r="G1603" s="5">
        <f t="shared" si="399"/>
        <v>5.6059999999999999</v>
      </c>
      <c r="H1603" s="49">
        <v>12188.555989999999</v>
      </c>
      <c r="I1603" s="49"/>
      <c r="J1603" s="5">
        <f t="shared" si="400"/>
        <v>12188.555989999999</v>
      </c>
      <c r="K1603" s="5">
        <f t="shared" si="397"/>
        <v>2174.1983571173741</v>
      </c>
      <c r="L1603" s="5">
        <f t="shared" si="398"/>
        <v>0.64099602982691062</v>
      </c>
      <c r="M1603" s="5">
        <f t="shared" si="401"/>
        <v>0</v>
      </c>
      <c r="N1603" s="5">
        <f t="shared" si="402"/>
        <v>3940</v>
      </c>
    </row>
    <row r="1604" spans="1:14" ht="15.75" x14ac:dyDescent="0.25">
      <c r="A1604" s="38">
        <v>25</v>
      </c>
      <c r="B1604" s="34" t="s">
        <v>984</v>
      </c>
      <c r="C1604" s="18" t="s">
        <v>279</v>
      </c>
      <c r="D1604" s="32" t="s">
        <v>2681</v>
      </c>
      <c r="E1604" s="5">
        <v>3.5449999999999999</v>
      </c>
      <c r="F1604" s="5">
        <v>1.7999999999999999E-2</v>
      </c>
      <c r="G1604" s="5">
        <f t="shared" si="399"/>
        <v>3.5629999999999997</v>
      </c>
      <c r="H1604" s="49">
        <v>18004.503580000001</v>
      </c>
      <c r="I1604" s="49"/>
      <c r="J1604" s="5">
        <f t="shared" si="400"/>
        <v>18004.503580000001</v>
      </c>
      <c r="K1604" s="5">
        <f t="shared" si="397"/>
        <v>5053.1865225933207</v>
      </c>
      <c r="L1604" s="5">
        <f t="shared" si="398"/>
        <v>1.4897778247112847</v>
      </c>
      <c r="M1604" s="5">
        <f t="shared" si="401"/>
        <v>2355.3000000000002</v>
      </c>
      <c r="N1604" s="5">
        <f t="shared" si="402"/>
        <v>0</v>
      </c>
    </row>
    <row r="1605" spans="1:14" ht="31.5" x14ac:dyDescent="0.25">
      <c r="A1605" s="38">
        <v>25</v>
      </c>
      <c r="B1605" s="34" t="s">
        <v>985</v>
      </c>
      <c r="C1605" s="18" t="s">
        <v>280</v>
      </c>
      <c r="D1605" s="32" t="s">
        <v>2682</v>
      </c>
      <c r="E1605" s="5">
        <v>6.5949999999999998</v>
      </c>
      <c r="F1605" s="5">
        <v>4.5999999999999999E-2</v>
      </c>
      <c r="G1605" s="5">
        <f t="shared" si="399"/>
        <v>6.641</v>
      </c>
      <c r="H1605" s="49">
        <v>27956.780570000003</v>
      </c>
      <c r="I1605" s="49"/>
      <c r="J1605" s="5">
        <f t="shared" si="400"/>
        <v>27956.780570000003</v>
      </c>
      <c r="K1605" s="5">
        <f t="shared" si="397"/>
        <v>4209.7245249209464</v>
      </c>
      <c r="L1605" s="5">
        <f t="shared" si="398"/>
        <v>1.2411087968610905</v>
      </c>
      <c r="M1605" s="5">
        <f t="shared" si="401"/>
        <v>1589.3</v>
      </c>
      <c r="N1605" s="5">
        <f t="shared" si="402"/>
        <v>0</v>
      </c>
    </row>
    <row r="1606" spans="1:14" ht="15.75" x14ac:dyDescent="0.25">
      <c r="A1606" s="38">
        <v>25</v>
      </c>
      <c r="B1606" s="34" t="s">
        <v>983</v>
      </c>
      <c r="C1606" s="18" t="s">
        <v>456</v>
      </c>
      <c r="D1606" s="32" t="s">
        <v>2683</v>
      </c>
      <c r="E1606" s="5">
        <v>7.1360000000000001</v>
      </c>
      <c r="F1606" s="5">
        <v>4.2000000000000003E-2</v>
      </c>
      <c r="G1606" s="5">
        <f t="shared" si="399"/>
        <v>7.1779999999999999</v>
      </c>
      <c r="H1606" s="49">
        <v>23167.047140000002</v>
      </c>
      <c r="I1606" s="49"/>
      <c r="J1606" s="5">
        <f t="shared" si="400"/>
        <v>23167.047140000002</v>
      </c>
      <c r="K1606" s="5">
        <f t="shared" si="397"/>
        <v>3227.5072638618003</v>
      </c>
      <c r="L1606" s="5">
        <f t="shared" si="398"/>
        <v>0.95153201436314205</v>
      </c>
      <c r="M1606" s="5">
        <f t="shared" si="401"/>
        <v>0</v>
      </c>
      <c r="N1606" s="5">
        <f t="shared" si="402"/>
        <v>0</v>
      </c>
    </row>
    <row r="1607" spans="1:14" ht="15.75" x14ac:dyDescent="0.25">
      <c r="A1607" s="38">
        <v>25</v>
      </c>
      <c r="B1607" s="34" t="s">
        <v>983</v>
      </c>
      <c r="C1607" s="18" t="s">
        <v>457</v>
      </c>
      <c r="D1607" s="32" t="s">
        <v>3149</v>
      </c>
      <c r="E1607" s="5">
        <v>20.914999999999999</v>
      </c>
      <c r="F1607" s="5">
        <v>0.14699999999999999</v>
      </c>
      <c r="G1607" s="5">
        <f t="shared" si="399"/>
        <v>21.061999999999998</v>
      </c>
      <c r="H1607" s="49">
        <v>78340.874979999993</v>
      </c>
      <c r="I1607" s="49">
        <f>(-3.99762-4.15696-3.88802-10.03728-10.54556-0.21314)*0.6</f>
        <v>-19.703148000000002</v>
      </c>
      <c r="J1607" s="5">
        <f t="shared" si="400"/>
        <v>78321.171831999993</v>
      </c>
      <c r="K1607" s="5">
        <f t="shared" si="397"/>
        <v>3718.6008846263412</v>
      </c>
      <c r="L1607" s="5">
        <f t="shared" si="398"/>
        <v>1.0963159804409892</v>
      </c>
      <c r="M1607" s="5">
        <f t="shared" si="401"/>
        <v>0</v>
      </c>
      <c r="N1607" s="5">
        <f t="shared" si="402"/>
        <v>0</v>
      </c>
    </row>
    <row r="1608" spans="1:14" ht="15.75" x14ac:dyDescent="0.25">
      <c r="A1608" s="38">
        <v>25</v>
      </c>
      <c r="B1608" s="34" t="s">
        <v>983</v>
      </c>
      <c r="C1608" s="18" t="s">
        <v>458</v>
      </c>
      <c r="D1608" s="32" t="s">
        <v>2685</v>
      </c>
      <c r="E1608" s="5">
        <v>19.574999999999999</v>
      </c>
      <c r="F1608" s="5">
        <v>0.16700000000000001</v>
      </c>
      <c r="G1608" s="5">
        <f t="shared" si="399"/>
        <v>19.742000000000001</v>
      </c>
      <c r="H1608" s="49">
        <v>43123.110710000008</v>
      </c>
      <c r="I1608" s="49"/>
      <c r="J1608" s="5">
        <f t="shared" si="400"/>
        <v>43123.110710000008</v>
      </c>
      <c r="K1608" s="5">
        <f t="shared" si="397"/>
        <v>2184.3334368351739</v>
      </c>
      <c r="L1608" s="5">
        <f t="shared" si="398"/>
        <v>0.6439840487626356</v>
      </c>
      <c r="M1608" s="5">
        <f t="shared" si="401"/>
        <v>0</v>
      </c>
      <c r="N1608" s="5">
        <f t="shared" si="402"/>
        <v>13714.9</v>
      </c>
    </row>
    <row r="1609" spans="1:14" ht="15.75" x14ac:dyDescent="0.25">
      <c r="A1609" s="38">
        <v>25</v>
      </c>
      <c r="B1609" s="34" t="s">
        <v>983</v>
      </c>
      <c r="C1609" s="18" t="s">
        <v>459</v>
      </c>
      <c r="D1609" s="32" t="s">
        <v>2686</v>
      </c>
      <c r="E1609" s="5">
        <v>9.0169999999999995</v>
      </c>
      <c r="F1609" s="5">
        <v>6.7000000000000004E-2</v>
      </c>
      <c r="G1609" s="5">
        <f t="shared" si="399"/>
        <v>9.0839999999999996</v>
      </c>
      <c r="H1609" s="49">
        <v>15212.549910000002</v>
      </c>
      <c r="I1609" s="49"/>
      <c r="J1609" s="5">
        <f t="shared" si="400"/>
        <v>15212.549910000002</v>
      </c>
      <c r="K1609" s="5">
        <f t="shared" si="397"/>
        <v>1674.6532265521798</v>
      </c>
      <c r="L1609" s="5">
        <f t="shared" si="398"/>
        <v>0.49372039402144718</v>
      </c>
      <c r="M1609" s="5">
        <f t="shared" si="401"/>
        <v>0</v>
      </c>
      <c r="N1609" s="5">
        <f t="shared" si="402"/>
        <v>10014.700000000001</v>
      </c>
    </row>
    <row r="1610" spans="1:14" ht="15.75" x14ac:dyDescent="0.25">
      <c r="A1610" s="38">
        <v>25</v>
      </c>
      <c r="B1610" s="34" t="s">
        <v>983</v>
      </c>
      <c r="C1610" s="18" t="s">
        <v>460</v>
      </c>
      <c r="D1610" s="32" t="s">
        <v>2687</v>
      </c>
      <c r="E1610" s="5">
        <v>22.026</v>
      </c>
      <c r="F1610" s="5">
        <v>0.16200000000000001</v>
      </c>
      <c r="G1610" s="5">
        <f t="shared" si="399"/>
        <v>22.187999999999999</v>
      </c>
      <c r="H1610" s="49">
        <v>54394.126060000002</v>
      </c>
      <c r="I1610" s="49"/>
      <c r="J1610" s="5">
        <f t="shared" si="400"/>
        <v>54394.126060000002</v>
      </c>
      <c r="K1610" s="5">
        <f t="shared" si="397"/>
        <v>2451.5109996394449</v>
      </c>
      <c r="L1610" s="5">
        <f t="shared" si="398"/>
        <v>0.72275319899023016</v>
      </c>
      <c r="M1610" s="5">
        <f t="shared" si="401"/>
        <v>0</v>
      </c>
      <c r="N1610" s="5">
        <f t="shared" si="402"/>
        <v>10671.6</v>
      </c>
    </row>
    <row r="1611" spans="1:14" ht="31.5" x14ac:dyDescent="0.25">
      <c r="A1611" s="38">
        <v>25</v>
      </c>
      <c r="B1611" s="34" t="s">
        <v>985</v>
      </c>
      <c r="C1611" s="18" t="s">
        <v>461</v>
      </c>
      <c r="D1611" s="32" t="s">
        <v>3150</v>
      </c>
      <c r="E1611" s="5">
        <v>6.19</v>
      </c>
      <c r="F1611" s="5">
        <v>1.4E-2</v>
      </c>
      <c r="G1611" s="5">
        <f t="shared" si="399"/>
        <v>6.2040000000000006</v>
      </c>
      <c r="H1611" s="49">
        <v>47101.589230000005</v>
      </c>
      <c r="I1611" s="49"/>
      <c r="J1611" s="5">
        <f t="shared" si="400"/>
        <v>47101.589230000005</v>
      </c>
      <c r="K1611" s="5">
        <f t="shared" si="397"/>
        <v>7592.132371050935</v>
      </c>
      <c r="L1611" s="5">
        <f t="shared" si="398"/>
        <v>2.2383085203947188</v>
      </c>
      <c r="M1611" s="5">
        <f t="shared" si="401"/>
        <v>11976.9</v>
      </c>
      <c r="N1611" s="5">
        <f t="shared" si="402"/>
        <v>0</v>
      </c>
    </row>
    <row r="1612" spans="1:14" ht="31.5" x14ac:dyDescent="0.25">
      <c r="A1612" s="38">
        <v>25</v>
      </c>
      <c r="B1612" s="34" t="s">
        <v>985</v>
      </c>
      <c r="C1612" s="18" t="s">
        <v>462</v>
      </c>
      <c r="D1612" s="32" t="s">
        <v>2689</v>
      </c>
      <c r="E1612" s="5">
        <v>15.506</v>
      </c>
      <c r="F1612" s="5">
        <v>0.18</v>
      </c>
      <c r="G1612" s="5">
        <f t="shared" si="399"/>
        <v>15.686</v>
      </c>
      <c r="H1612" s="49">
        <v>35317.4447</v>
      </c>
      <c r="I1612" s="49">
        <f>(-6.1)*0.6</f>
        <v>-3.6599999999999997</v>
      </c>
      <c r="J1612" s="5">
        <f t="shared" si="400"/>
        <v>35313.784699999997</v>
      </c>
      <c r="K1612" s="5">
        <f t="shared" si="397"/>
        <v>2251.293172255514</v>
      </c>
      <c r="L1612" s="5">
        <f t="shared" si="398"/>
        <v>0.66372508316374901</v>
      </c>
      <c r="M1612" s="5">
        <f t="shared" si="401"/>
        <v>0</v>
      </c>
      <c r="N1612" s="5">
        <f t="shared" si="402"/>
        <v>10056.9</v>
      </c>
    </row>
    <row r="1613" spans="1:14" ht="31.5" x14ac:dyDescent="0.25">
      <c r="A1613" s="38">
        <v>25</v>
      </c>
      <c r="B1613" s="34" t="s">
        <v>985</v>
      </c>
      <c r="C1613" s="18" t="s">
        <v>463</v>
      </c>
      <c r="D1613" s="32" t="s">
        <v>2690</v>
      </c>
      <c r="E1613" s="5">
        <v>9.7119999999999997</v>
      </c>
      <c r="F1613" s="5">
        <v>3.4000000000000002E-2</v>
      </c>
      <c r="G1613" s="5">
        <f t="shared" si="399"/>
        <v>9.7460000000000004</v>
      </c>
      <c r="H1613" s="49">
        <v>17679.49883</v>
      </c>
      <c r="I1613" s="49"/>
      <c r="J1613" s="5">
        <f t="shared" si="400"/>
        <v>17679.49883</v>
      </c>
      <c r="K1613" s="5">
        <f t="shared" si="397"/>
        <v>1814.0261471372871</v>
      </c>
      <c r="L1613" s="5">
        <f t="shared" si="398"/>
        <v>0.53481024604345029</v>
      </c>
      <c r="M1613" s="5">
        <f t="shared" si="401"/>
        <v>0</v>
      </c>
      <c r="N1613" s="5">
        <f t="shared" si="402"/>
        <v>9657.7999999999993</v>
      </c>
    </row>
    <row r="1614" spans="1:14" ht="31.5" x14ac:dyDescent="0.25">
      <c r="A1614" s="38">
        <v>25</v>
      </c>
      <c r="B1614" s="34" t="s">
        <v>985</v>
      </c>
      <c r="C1614" s="18" t="s">
        <v>464</v>
      </c>
      <c r="D1614" s="32" t="s">
        <v>3151</v>
      </c>
      <c r="E1614" s="5">
        <v>12.487</v>
      </c>
      <c r="F1614" s="5">
        <v>2.9000000000000001E-2</v>
      </c>
      <c r="G1614" s="5">
        <f t="shared" si="399"/>
        <v>12.516</v>
      </c>
      <c r="H1614" s="49">
        <v>33424.88665</v>
      </c>
      <c r="I1614" s="49"/>
      <c r="J1614" s="5">
        <f t="shared" si="400"/>
        <v>33424.88665</v>
      </c>
      <c r="K1614" s="5">
        <f t="shared" si="397"/>
        <v>2670.5725990731862</v>
      </c>
      <c r="L1614" s="5">
        <f t="shared" si="398"/>
        <v>0.78733682590030274</v>
      </c>
      <c r="M1614" s="5">
        <f t="shared" si="401"/>
        <v>0</v>
      </c>
      <c r="N1614" s="5">
        <f t="shared" si="402"/>
        <v>3826.3</v>
      </c>
    </row>
    <row r="1615" spans="1:14" ht="15.75" x14ac:dyDescent="0.25">
      <c r="A1615" s="38">
        <v>25</v>
      </c>
      <c r="B1615" s="34" t="s">
        <v>984</v>
      </c>
      <c r="C1615" s="18" t="s">
        <v>465</v>
      </c>
      <c r="D1615" s="32" t="s">
        <v>2365</v>
      </c>
      <c r="E1615" s="5">
        <v>7.399</v>
      </c>
      <c r="F1615" s="5">
        <v>4.4999999999999998E-2</v>
      </c>
      <c r="G1615" s="5">
        <f t="shared" si="399"/>
        <v>7.444</v>
      </c>
      <c r="H1615" s="49">
        <v>11161.421410000001</v>
      </c>
      <c r="I1615" s="49">
        <f>(-20.684)*0.6</f>
        <v>-12.410400000000001</v>
      </c>
      <c r="J1615" s="5">
        <f t="shared" si="400"/>
        <v>11149.01101</v>
      </c>
      <c r="K1615" s="5">
        <f t="shared" si="397"/>
        <v>1497.717760612574</v>
      </c>
      <c r="L1615" s="5">
        <f t="shared" si="398"/>
        <v>0.44155637189734293</v>
      </c>
      <c r="M1615" s="5">
        <f t="shared" si="401"/>
        <v>0</v>
      </c>
      <c r="N1615" s="5">
        <f t="shared" si="402"/>
        <v>9260.2999999999993</v>
      </c>
    </row>
    <row r="1616" spans="1:14" ht="15.75" x14ac:dyDescent="0.25">
      <c r="A1616" s="38">
        <v>25</v>
      </c>
      <c r="B1616" s="34" t="s">
        <v>984</v>
      </c>
      <c r="C1616" s="18" t="s">
        <v>466</v>
      </c>
      <c r="D1616" s="32" t="s">
        <v>2692</v>
      </c>
      <c r="E1616" s="5">
        <v>4.0620000000000003</v>
      </c>
      <c r="F1616" s="5">
        <v>2.1000000000000001E-2</v>
      </c>
      <c r="G1616" s="5">
        <f t="shared" si="399"/>
        <v>4.0830000000000002</v>
      </c>
      <c r="H1616" s="49">
        <v>11632.1096</v>
      </c>
      <c r="I1616" s="49"/>
      <c r="J1616" s="5">
        <f t="shared" si="400"/>
        <v>11632.1096</v>
      </c>
      <c r="K1616" s="5">
        <f t="shared" si="397"/>
        <v>2848.9124663237812</v>
      </c>
      <c r="L1616" s="5">
        <f t="shared" si="398"/>
        <v>0.83991489288911814</v>
      </c>
      <c r="M1616" s="5">
        <f t="shared" si="401"/>
        <v>0</v>
      </c>
      <c r="N1616" s="5">
        <f t="shared" si="402"/>
        <v>665.7</v>
      </c>
    </row>
    <row r="1617" spans="1:14" ht="15.75" x14ac:dyDescent="0.25">
      <c r="A1617" s="38">
        <v>25</v>
      </c>
      <c r="B1617" s="34" t="s">
        <v>983</v>
      </c>
      <c r="C1617" s="18" t="s">
        <v>507</v>
      </c>
      <c r="D1617" s="32" t="s">
        <v>2693</v>
      </c>
      <c r="E1617" s="5">
        <v>25.581</v>
      </c>
      <c r="F1617" s="5">
        <v>3.5999999999999997E-2</v>
      </c>
      <c r="G1617" s="5">
        <f t="shared" si="399"/>
        <v>25.617000000000001</v>
      </c>
      <c r="H1617" s="49">
        <v>68518.079979999995</v>
      </c>
      <c r="I1617" s="49"/>
      <c r="J1617" s="5">
        <f t="shared" si="400"/>
        <v>68518.079979999995</v>
      </c>
      <c r="K1617" s="5">
        <f t="shared" si="397"/>
        <v>2674.7113237303352</v>
      </c>
      <c r="L1617" s="5">
        <f t="shared" si="398"/>
        <v>0.78855700255304217</v>
      </c>
      <c r="M1617" s="5">
        <f t="shared" si="401"/>
        <v>0</v>
      </c>
      <c r="N1617" s="5">
        <f t="shared" si="402"/>
        <v>7746.7</v>
      </c>
    </row>
    <row r="1618" spans="1:14" ht="31.5" x14ac:dyDescent="0.25">
      <c r="A1618" s="38">
        <v>25</v>
      </c>
      <c r="B1618" s="34" t="s">
        <v>985</v>
      </c>
      <c r="C1618" s="18" t="s">
        <v>508</v>
      </c>
      <c r="D1618" s="32" t="s">
        <v>2694</v>
      </c>
      <c r="E1618" s="5">
        <v>16.148</v>
      </c>
      <c r="F1618" s="5">
        <v>9.1999999999999998E-2</v>
      </c>
      <c r="G1618" s="5">
        <f t="shared" si="399"/>
        <v>16.239999999999998</v>
      </c>
      <c r="H1618" s="49">
        <v>53908.615760000001</v>
      </c>
      <c r="I1618" s="49"/>
      <c r="J1618" s="5">
        <f t="shared" si="400"/>
        <v>53908.615760000001</v>
      </c>
      <c r="K1618" s="5">
        <f t="shared" si="397"/>
        <v>3319.4960443349755</v>
      </c>
      <c r="L1618" s="5">
        <f t="shared" si="398"/>
        <v>0.97865209882043214</v>
      </c>
      <c r="M1618" s="5">
        <f t="shared" si="401"/>
        <v>0</v>
      </c>
      <c r="N1618" s="5">
        <f t="shared" si="402"/>
        <v>0</v>
      </c>
    </row>
    <row r="1619" spans="1:14" ht="31.5" x14ac:dyDescent="0.25">
      <c r="A1619" s="38">
        <v>25</v>
      </c>
      <c r="B1619" s="34" t="s">
        <v>984</v>
      </c>
      <c r="C1619" s="18" t="s">
        <v>509</v>
      </c>
      <c r="D1619" s="32" t="s">
        <v>2695</v>
      </c>
      <c r="E1619" s="5">
        <v>4.5389999999999997</v>
      </c>
      <c r="F1619" s="5">
        <v>4.7E-2</v>
      </c>
      <c r="G1619" s="5">
        <f t="shared" si="399"/>
        <v>4.5859999999999994</v>
      </c>
      <c r="H1619" s="49">
        <v>14331.319450000001</v>
      </c>
      <c r="I1619" s="49"/>
      <c r="J1619" s="5">
        <f t="shared" si="400"/>
        <v>14331.319450000001</v>
      </c>
      <c r="K1619" s="5">
        <f t="shared" si="397"/>
        <v>3125.0151439162673</v>
      </c>
      <c r="L1619" s="5">
        <f t="shared" si="398"/>
        <v>0.92131534082065369</v>
      </c>
      <c r="M1619" s="5">
        <f t="shared" si="401"/>
        <v>0</v>
      </c>
      <c r="N1619" s="5">
        <f t="shared" si="402"/>
        <v>0</v>
      </c>
    </row>
    <row r="1620" spans="1:14" ht="31.5" x14ac:dyDescent="0.25">
      <c r="A1620" s="38">
        <v>25</v>
      </c>
      <c r="B1620" s="34" t="s">
        <v>984</v>
      </c>
      <c r="C1620" s="18" t="s">
        <v>662</v>
      </c>
      <c r="D1620" s="32" t="s">
        <v>2696</v>
      </c>
      <c r="E1620" s="5">
        <v>6.1319999999999997</v>
      </c>
      <c r="F1620" s="5">
        <v>1.2E-2</v>
      </c>
      <c r="G1620" s="5">
        <f t="shared" si="399"/>
        <v>6.1439999999999992</v>
      </c>
      <c r="H1620" s="49">
        <v>30158.645649999999</v>
      </c>
      <c r="I1620" s="49"/>
      <c r="J1620" s="5">
        <f t="shared" si="400"/>
        <v>30158.645649999999</v>
      </c>
      <c r="K1620" s="5">
        <f t="shared" si="397"/>
        <v>4908.6337320963548</v>
      </c>
      <c r="L1620" s="5">
        <f t="shared" si="398"/>
        <v>1.4471608461335781</v>
      </c>
      <c r="M1620" s="5">
        <f t="shared" si="401"/>
        <v>3617.4</v>
      </c>
      <c r="N1620" s="5">
        <f t="shared" si="402"/>
        <v>0</v>
      </c>
    </row>
    <row r="1621" spans="1:14" ht="31.5" x14ac:dyDescent="0.25">
      <c r="A1621" s="38">
        <v>25</v>
      </c>
      <c r="B1621" s="34" t="s">
        <v>983</v>
      </c>
      <c r="C1621" s="18" t="s">
        <v>663</v>
      </c>
      <c r="D1621" s="32" t="s">
        <v>2697</v>
      </c>
      <c r="E1621" s="5">
        <v>24.75</v>
      </c>
      <c r="F1621" s="5">
        <v>0.217</v>
      </c>
      <c r="G1621" s="5">
        <f t="shared" si="399"/>
        <v>24.966999999999999</v>
      </c>
      <c r="H1621" s="49">
        <v>95511.744250000003</v>
      </c>
      <c r="I1621" s="49">
        <f>(-1075.2-7.6-3)*0.6</f>
        <v>-651.4799999999999</v>
      </c>
      <c r="J1621" s="5">
        <f t="shared" si="400"/>
        <v>94860.264250000007</v>
      </c>
      <c r="K1621" s="5">
        <f t="shared" si="397"/>
        <v>3799.4258120719355</v>
      </c>
      <c r="L1621" s="5">
        <f t="shared" si="398"/>
        <v>1.120144743549965</v>
      </c>
      <c r="M1621" s="5">
        <f t="shared" si="401"/>
        <v>853</v>
      </c>
      <c r="N1621" s="5">
        <f t="shared" si="402"/>
        <v>0</v>
      </c>
    </row>
    <row r="1622" spans="1:14" ht="31.5" x14ac:dyDescent="0.25">
      <c r="A1622" s="38">
        <v>25</v>
      </c>
      <c r="B1622" s="34" t="s">
        <v>984</v>
      </c>
      <c r="C1622" s="18" t="s">
        <v>664</v>
      </c>
      <c r="D1622" s="32" t="s">
        <v>2698</v>
      </c>
      <c r="E1622" s="5">
        <v>2.6520000000000001</v>
      </c>
      <c r="F1622" s="5">
        <v>2.4E-2</v>
      </c>
      <c r="G1622" s="5">
        <f t="shared" si="399"/>
        <v>2.6760000000000002</v>
      </c>
      <c r="H1622" s="49">
        <v>8114.58104</v>
      </c>
      <c r="I1622" s="49"/>
      <c r="J1622" s="5">
        <f t="shared" si="400"/>
        <v>8114.58104</v>
      </c>
      <c r="K1622" s="5">
        <f t="shared" si="397"/>
        <v>3032.3546487294466</v>
      </c>
      <c r="L1622" s="5">
        <f t="shared" si="398"/>
        <v>0.89399722178054208</v>
      </c>
      <c r="M1622" s="5">
        <f t="shared" si="401"/>
        <v>0</v>
      </c>
      <c r="N1622" s="5">
        <f t="shared" si="402"/>
        <v>43.6</v>
      </c>
    </row>
    <row r="1623" spans="1:14" ht="31.5" x14ac:dyDescent="0.25">
      <c r="A1623" s="38">
        <v>25</v>
      </c>
      <c r="B1623" s="34" t="s">
        <v>984</v>
      </c>
      <c r="C1623" s="18" t="s">
        <v>665</v>
      </c>
      <c r="D1623" s="32" t="s">
        <v>2699</v>
      </c>
      <c r="E1623" s="5">
        <v>4.0209999999999999</v>
      </c>
      <c r="F1623" s="5">
        <v>2.5000000000000001E-2</v>
      </c>
      <c r="G1623" s="5">
        <f t="shared" si="399"/>
        <v>4.0460000000000003</v>
      </c>
      <c r="H1623" s="49">
        <v>12315.01334</v>
      </c>
      <c r="I1623" s="49"/>
      <c r="J1623" s="5">
        <f t="shared" si="400"/>
        <v>12315.01334</v>
      </c>
      <c r="K1623" s="5">
        <f t="shared" si="397"/>
        <v>3043.7502076124565</v>
      </c>
      <c r="L1623" s="5">
        <f t="shared" si="398"/>
        <v>0.89735685452874847</v>
      </c>
      <c r="M1623" s="5">
        <f t="shared" si="401"/>
        <v>0</v>
      </c>
      <c r="N1623" s="5">
        <f t="shared" si="402"/>
        <v>29</v>
      </c>
    </row>
    <row r="1624" spans="1:14" ht="15.75" x14ac:dyDescent="0.25">
      <c r="A1624" s="38">
        <v>25</v>
      </c>
      <c r="B1624" s="34" t="s">
        <v>983</v>
      </c>
      <c r="C1624" s="18" t="s">
        <v>666</v>
      </c>
      <c r="D1624" s="32" t="s">
        <v>2700</v>
      </c>
      <c r="E1624" s="5">
        <v>22.558</v>
      </c>
      <c r="F1624" s="5">
        <v>0.20699999999999999</v>
      </c>
      <c r="G1624" s="5">
        <f t="shared" si="399"/>
        <v>22.765000000000001</v>
      </c>
      <c r="H1624" s="49">
        <v>82327.399850000002</v>
      </c>
      <c r="I1624" s="49"/>
      <c r="J1624" s="5">
        <f t="shared" si="400"/>
        <v>82327.399850000002</v>
      </c>
      <c r="K1624" s="5">
        <f t="shared" si="397"/>
        <v>3616.4023654733141</v>
      </c>
      <c r="L1624" s="5">
        <f t="shared" si="398"/>
        <v>1.0661858661315784</v>
      </c>
      <c r="M1624" s="5">
        <f t="shared" si="401"/>
        <v>0</v>
      </c>
      <c r="N1624" s="5">
        <f t="shared" si="402"/>
        <v>0</v>
      </c>
    </row>
    <row r="1625" spans="1:14" ht="31.5" x14ac:dyDescent="0.25">
      <c r="A1625" s="38">
        <v>25</v>
      </c>
      <c r="B1625" s="34" t="s">
        <v>985</v>
      </c>
      <c r="C1625" s="18" t="s">
        <v>667</v>
      </c>
      <c r="D1625" s="32" t="s">
        <v>2837</v>
      </c>
      <c r="E1625" s="5">
        <v>14.539</v>
      </c>
      <c r="F1625" s="5">
        <v>9.6000000000000002E-2</v>
      </c>
      <c r="G1625" s="5">
        <f t="shared" si="399"/>
        <v>14.635</v>
      </c>
      <c r="H1625" s="49">
        <v>35845.313269999999</v>
      </c>
      <c r="I1625" s="49"/>
      <c r="J1625" s="5">
        <f t="shared" si="400"/>
        <v>35845.313269999999</v>
      </c>
      <c r="K1625" s="5">
        <f t="shared" si="397"/>
        <v>2449.2868650495388</v>
      </c>
      <c r="L1625" s="5">
        <f t="shared" si="398"/>
        <v>0.72209748078620173</v>
      </c>
      <c r="M1625" s="5">
        <f t="shared" si="401"/>
        <v>0</v>
      </c>
      <c r="N1625" s="5">
        <f t="shared" si="402"/>
        <v>7064.9</v>
      </c>
    </row>
    <row r="1626" spans="1:14" ht="31.5" x14ac:dyDescent="0.25">
      <c r="A1626" s="38">
        <v>25</v>
      </c>
      <c r="B1626" s="34" t="s">
        <v>985</v>
      </c>
      <c r="C1626" s="18" t="s">
        <v>668</v>
      </c>
      <c r="D1626" s="32" t="s">
        <v>2701</v>
      </c>
      <c r="E1626" s="5">
        <v>4.468</v>
      </c>
      <c r="F1626" s="5">
        <v>3.1E-2</v>
      </c>
      <c r="G1626" s="5">
        <f t="shared" si="399"/>
        <v>4.4989999999999997</v>
      </c>
      <c r="H1626" s="49">
        <v>14011.85579</v>
      </c>
      <c r="I1626" s="49"/>
      <c r="J1626" s="5">
        <f t="shared" si="400"/>
        <v>14011.85579</v>
      </c>
      <c r="K1626" s="5">
        <f t="shared" si="397"/>
        <v>3114.4378284063127</v>
      </c>
      <c r="L1626" s="5">
        <f t="shared" si="398"/>
        <v>0.91819694215849268</v>
      </c>
      <c r="M1626" s="5">
        <f t="shared" si="401"/>
        <v>0</v>
      </c>
      <c r="N1626" s="5">
        <f t="shared" si="402"/>
        <v>0</v>
      </c>
    </row>
    <row r="1627" spans="1:14" ht="15.75" x14ac:dyDescent="0.25">
      <c r="A1627" s="38">
        <v>25</v>
      </c>
      <c r="B1627" s="34" t="s">
        <v>985</v>
      </c>
      <c r="C1627" s="18" t="s">
        <v>669</v>
      </c>
      <c r="D1627" s="32" t="s">
        <v>3152</v>
      </c>
      <c r="E1627" s="5">
        <v>5.4729999999999999</v>
      </c>
      <c r="F1627" s="5">
        <v>7.0000000000000001E-3</v>
      </c>
      <c r="G1627" s="5">
        <f t="shared" si="399"/>
        <v>5.4799999999999995</v>
      </c>
      <c r="H1627" s="49">
        <v>14383.267964000001</v>
      </c>
      <c r="I1627" s="49"/>
      <c r="J1627" s="5">
        <f t="shared" si="400"/>
        <v>14383.267964000001</v>
      </c>
      <c r="K1627" s="5">
        <f t="shared" si="397"/>
        <v>2624.6839350364967</v>
      </c>
      <c r="L1627" s="5">
        <f t="shared" si="398"/>
        <v>0.77380795381497114</v>
      </c>
      <c r="M1627" s="5">
        <f t="shared" si="401"/>
        <v>0</v>
      </c>
      <c r="N1627" s="5">
        <f t="shared" si="402"/>
        <v>1876.5</v>
      </c>
    </row>
    <row r="1628" spans="1:14" ht="15.75" x14ac:dyDescent="0.25">
      <c r="A1628" s="38">
        <v>25</v>
      </c>
      <c r="B1628" s="34" t="s">
        <v>983</v>
      </c>
      <c r="C1628" s="18" t="s">
        <v>670</v>
      </c>
      <c r="D1628" s="32" t="s">
        <v>3153</v>
      </c>
      <c r="E1628" s="5">
        <v>15.973000000000001</v>
      </c>
      <c r="F1628" s="5">
        <v>9.7000000000000003E-2</v>
      </c>
      <c r="G1628" s="5">
        <f t="shared" si="399"/>
        <v>16.07</v>
      </c>
      <c r="H1628" s="49">
        <v>38892.678669999994</v>
      </c>
      <c r="I1628" s="49"/>
      <c r="J1628" s="5">
        <f t="shared" si="400"/>
        <v>38892.678669999994</v>
      </c>
      <c r="K1628" s="5">
        <f t="shared" si="397"/>
        <v>2420.2040242688236</v>
      </c>
      <c r="L1628" s="5">
        <f t="shared" si="398"/>
        <v>0.71352329278007942</v>
      </c>
      <c r="M1628" s="5">
        <f t="shared" si="401"/>
        <v>0</v>
      </c>
      <c r="N1628" s="5">
        <f t="shared" si="402"/>
        <v>8131.6</v>
      </c>
    </row>
    <row r="1629" spans="1:14" ht="31.5" x14ac:dyDescent="0.25">
      <c r="A1629" s="38">
        <v>25</v>
      </c>
      <c r="B1629" s="34" t="s">
        <v>985</v>
      </c>
      <c r="C1629" s="18" t="s">
        <v>671</v>
      </c>
      <c r="D1629" s="32" t="s">
        <v>2704</v>
      </c>
      <c r="E1629" s="5">
        <v>15.212</v>
      </c>
      <c r="F1629" s="5">
        <v>0.17299999999999999</v>
      </c>
      <c r="G1629" s="5">
        <f t="shared" si="399"/>
        <v>15.385</v>
      </c>
      <c r="H1629" s="49">
        <v>31975.734189999999</v>
      </c>
      <c r="I1629" s="49"/>
      <c r="J1629" s="5">
        <f t="shared" si="400"/>
        <v>31975.734189999999</v>
      </c>
      <c r="K1629" s="5">
        <f t="shared" si="397"/>
        <v>2078.3707630809231</v>
      </c>
      <c r="L1629" s="5">
        <f t="shared" si="398"/>
        <v>0.61274418834972832</v>
      </c>
      <c r="M1629" s="5">
        <f t="shared" si="401"/>
        <v>0</v>
      </c>
      <c r="N1629" s="5">
        <f t="shared" si="402"/>
        <v>11992.2</v>
      </c>
    </row>
    <row r="1630" spans="1:14" ht="31.5" x14ac:dyDescent="0.25">
      <c r="A1630" s="38">
        <v>25</v>
      </c>
      <c r="B1630" s="34" t="s">
        <v>985</v>
      </c>
      <c r="C1630" s="18" t="s">
        <v>672</v>
      </c>
      <c r="D1630" s="32" t="s">
        <v>2705</v>
      </c>
      <c r="E1630" s="5">
        <v>10.519</v>
      </c>
      <c r="F1630" s="5">
        <v>4.7E-2</v>
      </c>
      <c r="G1630" s="5">
        <f t="shared" si="399"/>
        <v>10.566000000000001</v>
      </c>
      <c r="H1630" s="49">
        <v>48048.174480000001</v>
      </c>
      <c r="I1630" s="49"/>
      <c r="J1630" s="5">
        <f t="shared" si="400"/>
        <v>48048.174480000001</v>
      </c>
      <c r="K1630" s="5">
        <f t="shared" si="397"/>
        <v>4547.4327541169787</v>
      </c>
      <c r="L1630" s="5">
        <f t="shared" si="398"/>
        <v>1.3406717615031649</v>
      </c>
      <c r="M1630" s="5">
        <f t="shared" si="401"/>
        <v>4312.7</v>
      </c>
      <c r="N1630" s="5">
        <f t="shared" si="402"/>
        <v>0</v>
      </c>
    </row>
    <row r="1631" spans="1:14" ht="31.5" x14ac:dyDescent="0.25">
      <c r="A1631" s="38">
        <v>25</v>
      </c>
      <c r="B1631" s="34" t="s">
        <v>985</v>
      </c>
      <c r="C1631" s="18" t="s">
        <v>673</v>
      </c>
      <c r="D1631" s="32" t="s">
        <v>2706</v>
      </c>
      <c r="E1631" s="5">
        <v>11.776999999999999</v>
      </c>
      <c r="F1631" s="5">
        <v>3.3000000000000002E-2</v>
      </c>
      <c r="G1631" s="5">
        <f t="shared" si="399"/>
        <v>11.809999999999999</v>
      </c>
      <c r="H1631" s="49">
        <v>38029.07243</v>
      </c>
      <c r="I1631" s="49"/>
      <c r="J1631" s="5">
        <f t="shared" si="400"/>
        <v>38029.07243</v>
      </c>
      <c r="K1631" s="5">
        <f t="shared" si="397"/>
        <v>3220.0738721422526</v>
      </c>
      <c r="L1631" s="5">
        <f t="shared" si="398"/>
        <v>0.94934050567913419</v>
      </c>
      <c r="M1631" s="5">
        <f t="shared" si="401"/>
        <v>0</v>
      </c>
      <c r="N1631" s="5">
        <f t="shared" si="402"/>
        <v>0</v>
      </c>
    </row>
    <row r="1632" spans="1:14" ht="31.5" x14ac:dyDescent="0.25">
      <c r="A1632" s="38">
        <v>25</v>
      </c>
      <c r="B1632" s="34" t="s">
        <v>985</v>
      </c>
      <c r="C1632" s="18" t="s">
        <v>674</v>
      </c>
      <c r="D1632" s="32" t="s">
        <v>2707</v>
      </c>
      <c r="E1632" s="5">
        <v>4.5949999999999998</v>
      </c>
      <c r="F1632" s="5">
        <v>4.7E-2</v>
      </c>
      <c r="G1632" s="5">
        <f t="shared" si="399"/>
        <v>4.6419999999999995</v>
      </c>
      <c r="H1632" s="49">
        <v>8468.88465</v>
      </c>
      <c r="I1632" s="49"/>
      <c r="J1632" s="5">
        <f t="shared" si="400"/>
        <v>8468.88465</v>
      </c>
      <c r="K1632" s="5">
        <f t="shared" ref="K1632:K1648" si="403">J1632/G1632</f>
        <v>1824.4042761740632</v>
      </c>
      <c r="L1632" s="5">
        <f t="shared" ref="L1632:L1657" si="404">K1632/$K$1659</f>
        <v>0.53786992065309569</v>
      </c>
      <c r="M1632" s="5">
        <f t="shared" si="401"/>
        <v>0</v>
      </c>
      <c r="N1632" s="5">
        <f t="shared" si="402"/>
        <v>4561.5</v>
      </c>
    </row>
    <row r="1633" spans="1:14" ht="31.5" x14ac:dyDescent="0.25">
      <c r="A1633" s="38">
        <v>25</v>
      </c>
      <c r="B1633" s="34" t="s">
        <v>985</v>
      </c>
      <c r="C1633" s="18" t="s">
        <v>675</v>
      </c>
      <c r="D1633" s="32" t="s">
        <v>2708</v>
      </c>
      <c r="E1633" s="5">
        <v>3.262</v>
      </c>
      <c r="F1633" s="5">
        <v>1.9E-2</v>
      </c>
      <c r="G1633" s="5">
        <f t="shared" si="399"/>
        <v>3.2810000000000001</v>
      </c>
      <c r="H1633" s="49">
        <v>15878.46399</v>
      </c>
      <c r="I1633" s="49"/>
      <c r="J1633" s="5">
        <f t="shared" ref="J1633:J1648" si="405">H1633+I1633</f>
        <v>15878.46399</v>
      </c>
      <c r="K1633" s="5">
        <f t="shared" si="403"/>
        <v>4839.5196555928069</v>
      </c>
      <c r="L1633" s="5">
        <f t="shared" si="404"/>
        <v>1.4267846700138129</v>
      </c>
      <c r="M1633" s="5">
        <f t="shared" ref="M1633:M1657" si="406">ROUND(IF(L1633&lt;110%,0,(K1633-$K$1659*1.1)*0.5)*G1633,1)</f>
        <v>1818.4</v>
      </c>
      <c r="N1633" s="5">
        <f t="shared" ref="N1633:N1657" si="407">ROUND(IF(L1633&gt;90%,0,(-K1633+$K$1659*0.9)*0.8)*G1633,1)</f>
        <v>0</v>
      </c>
    </row>
    <row r="1634" spans="1:14" ht="31.5" x14ac:dyDescent="0.25">
      <c r="A1634" s="38">
        <v>25</v>
      </c>
      <c r="B1634" s="34" t="s">
        <v>984</v>
      </c>
      <c r="C1634" s="18" t="s">
        <v>728</v>
      </c>
      <c r="D1634" s="32" t="s">
        <v>2709</v>
      </c>
      <c r="E1634" s="5">
        <v>4.2809999999999997</v>
      </c>
      <c r="F1634" s="5">
        <v>4.2999999999999997E-2</v>
      </c>
      <c r="G1634" s="5">
        <f t="shared" si="399"/>
        <v>4.3239999999999998</v>
      </c>
      <c r="H1634" s="49">
        <v>7037.917120000001</v>
      </c>
      <c r="I1634" s="49"/>
      <c r="J1634" s="5">
        <f t="shared" si="405"/>
        <v>7037.917120000001</v>
      </c>
      <c r="K1634" s="5">
        <f t="shared" si="403"/>
        <v>1627.6404070305275</v>
      </c>
      <c r="L1634" s="5">
        <f t="shared" si="404"/>
        <v>0.47986009900020438</v>
      </c>
      <c r="M1634" s="5">
        <f t="shared" si="406"/>
        <v>0</v>
      </c>
      <c r="N1634" s="5">
        <f t="shared" si="407"/>
        <v>4929.6000000000004</v>
      </c>
    </row>
    <row r="1635" spans="1:14" ht="31.5" x14ac:dyDescent="0.25">
      <c r="A1635" s="38">
        <v>25</v>
      </c>
      <c r="B1635" s="34" t="s">
        <v>985</v>
      </c>
      <c r="C1635" s="18" t="s">
        <v>729</v>
      </c>
      <c r="D1635" s="32" t="s">
        <v>2710</v>
      </c>
      <c r="E1635" s="5">
        <v>14.907999999999999</v>
      </c>
      <c r="F1635" s="5">
        <v>0.11799999999999999</v>
      </c>
      <c r="G1635" s="5">
        <f t="shared" si="399"/>
        <v>15.026</v>
      </c>
      <c r="H1635" s="49">
        <v>78676.703379999992</v>
      </c>
      <c r="I1635" s="49">
        <f>(-1092.463-251.148)*0.6</f>
        <v>-806.1665999999999</v>
      </c>
      <c r="J1635" s="5">
        <f t="shared" si="405"/>
        <v>77870.536779999995</v>
      </c>
      <c r="K1635" s="5">
        <f t="shared" si="403"/>
        <v>5182.3863157194191</v>
      </c>
      <c r="L1635" s="5">
        <f t="shared" si="404"/>
        <v>1.5278684405822711</v>
      </c>
      <c r="M1635" s="5">
        <f t="shared" si="406"/>
        <v>10903.5</v>
      </c>
      <c r="N1635" s="5">
        <f t="shared" si="407"/>
        <v>0</v>
      </c>
    </row>
    <row r="1636" spans="1:14" ht="31.5" x14ac:dyDescent="0.25">
      <c r="A1636" s="38">
        <v>25</v>
      </c>
      <c r="B1636" s="34" t="s">
        <v>983</v>
      </c>
      <c r="C1636" s="18" t="s">
        <v>730</v>
      </c>
      <c r="D1636" s="32" t="s">
        <v>3154</v>
      </c>
      <c r="E1636" s="5">
        <v>21.388000000000002</v>
      </c>
      <c r="F1636" s="5">
        <v>0.124</v>
      </c>
      <c r="G1636" s="5">
        <f t="shared" si="399"/>
        <v>21.512</v>
      </c>
      <c r="H1636" s="49">
        <v>44132.764730000003</v>
      </c>
      <c r="I1636" s="49">
        <f>(12.686-12.69)*0.6</f>
        <v>-2.3999999999997357E-3</v>
      </c>
      <c r="J1636" s="5">
        <f t="shared" si="405"/>
        <v>44132.762330000005</v>
      </c>
      <c r="K1636" s="5">
        <f t="shared" si="403"/>
        <v>2051.5415735403499</v>
      </c>
      <c r="L1636" s="5">
        <f t="shared" si="404"/>
        <v>0.6048344206311187</v>
      </c>
      <c r="M1636" s="5">
        <f t="shared" si="406"/>
        <v>0</v>
      </c>
      <c r="N1636" s="5">
        <f t="shared" si="407"/>
        <v>17229.8</v>
      </c>
    </row>
    <row r="1637" spans="1:14" ht="31.5" x14ac:dyDescent="0.25">
      <c r="A1637" s="38">
        <v>25</v>
      </c>
      <c r="B1637" s="34" t="s">
        <v>985</v>
      </c>
      <c r="C1637" s="18" t="s">
        <v>731</v>
      </c>
      <c r="D1637" s="32" t="s">
        <v>2712</v>
      </c>
      <c r="E1637" s="5">
        <v>4.6849999999999996</v>
      </c>
      <c r="F1637" s="5">
        <v>2.8000000000000001E-2</v>
      </c>
      <c r="G1637" s="5">
        <f t="shared" si="399"/>
        <v>4.7129999999999992</v>
      </c>
      <c r="H1637" s="49">
        <v>17993.720089999999</v>
      </c>
      <c r="I1637" s="49"/>
      <c r="J1637" s="5">
        <f t="shared" si="405"/>
        <v>17993.720089999999</v>
      </c>
      <c r="K1637" s="5">
        <f t="shared" si="403"/>
        <v>3817.8909590494382</v>
      </c>
      <c r="L1637" s="5">
        <f t="shared" si="404"/>
        <v>1.1255886285864904</v>
      </c>
      <c r="M1637" s="5">
        <f t="shared" si="406"/>
        <v>204.5</v>
      </c>
      <c r="N1637" s="5">
        <f t="shared" si="407"/>
        <v>0</v>
      </c>
    </row>
    <row r="1638" spans="1:14" ht="15.75" x14ac:dyDescent="0.25">
      <c r="A1638" s="38">
        <v>25</v>
      </c>
      <c r="B1638" s="34" t="s">
        <v>986</v>
      </c>
      <c r="C1638" s="18">
        <v>25538000000</v>
      </c>
      <c r="D1638" s="32" t="s">
        <v>3155</v>
      </c>
      <c r="E1638" s="5">
        <v>67.805999999999997</v>
      </c>
      <c r="F1638" s="5">
        <v>0.53100000000000003</v>
      </c>
      <c r="G1638" s="5">
        <f t="shared" si="399"/>
        <v>68.337000000000003</v>
      </c>
      <c r="H1638" s="49">
        <v>205113.33272000001</v>
      </c>
      <c r="I1638" s="49">
        <f>(-17.2-0.4-8.3-122.8)*0.6</f>
        <v>-89.219999999999985</v>
      </c>
      <c r="J1638" s="5">
        <f t="shared" si="405"/>
        <v>205024.11272</v>
      </c>
      <c r="K1638" s="5">
        <f t="shared" si="403"/>
        <v>3000.1918831672447</v>
      </c>
      <c r="L1638" s="5">
        <f t="shared" si="404"/>
        <v>0.88451501195081939</v>
      </c>
      <c r="M1638" s="5">
        <f t="shared" si="406"/>
        <v>0</v>
      </c>
      <c r="N1638" s="5">
        <f t="shared" si="407"/>
        <v>2871.4</v>
      </c>
    </row>
    <row r="1639" spans="1:14" ht="31.5" x14ac:dyDescent="0.25">
      <c r="A1639" s="38">
        <v>25</v>
      </c>
      <c r="B1639" s="34" t="s">
        <v>986</v>
      </c>
      <c r="C1639" s="18">
        <v>25539000000</v>
      </c>
      <c r="D1639" s="32" t="s">
        <v>3156</v>
      </c>
      <c r="E1639" s="5">
        <v>24.667999999999999</v>
      </c>
      <c r="F1639" s="5">
        <v>0.14699999999999999</v>
      </c>
      <c r="G1639" s="5">
        <f t="shared" si="399"/>
        <v>24.814999999999998</v>
      </c>
      <c r="H1639" s="49">
        <v>64227.69859</v>
      </c>
      <c r="I1639" s="49"/>
      <c r="J1639" s="5">
        <f t="shared" si="405"/>
        <v>64227.69859</v>
      </c>
      <c r="K1639" s="5">
        <f t="shared" si="403"/>
        <v>2588.2610755591377</v>
      </c>
      <c r="L1639" s="5">
        <f t="shared" si="404"/>
        <v>0.76306978531093239</v>
      </c>
      <c r="M1639" s="5">
        <f t="shared" si="406"/>
        <v>0</v>
      </c>
      <c r="N1639" s="5">
        <f t="shared" si="407"/>
        <v>9220.2999999999993</v>
      </c>
    </row>
    <row r="1640" spans="1:14" ht="15.75" x14ac:dyDescent="0.25">
      <c r="A1640" s="38">
        <v>25</v>
      </c>
      <c r="B1640" s="34" t="s">
        <v>983</v>
      </c>
      <c r="C1640" s="18">
        <v>25540000000</v>
      </c>
      <c r="D1640" s="32" t="s">
        <v>3157</v>
      </c>
      <c r="E1640" s="5">
        <v>15.673</v>
      </c>
      <c r="F1640" s="5">
        <v>0.13300000000000001</v>
      </c>
      <c r="G1640" s="5">
        <f t="shared" si="399"/>
        <v>15.806000000000001</v>
      </c>
      <c r="H1640" s="49">
        <v>38777.438540000003</v>
      </c>
      <c r="I1640" s="49"/>
      <c r="J1640" s="5">
        <f t="shared" si="405"/>
        <v>38777.438540000003</v>
      </c>
      <c r="K1640" s="5">
        <f t="shared" si="403"/>
        <v>2453.336615209414</v>
      </c>
      <c r="L1640" s="5">
        <f t="shared" si="404"/>
        <v>0.72329142602389052</v>
      </c>
      <c r="M1640" s="5">
        <f t="shared" si="406"/>
        <v>0</v>
      </c>
      <c r="N1640" s="5">
        <f t="shared" si="407"/>
        <v>7579</v>
      </c>
    </row>
    <row r="1641" spans="1:14" ht="31.5" x14ac:dyDescent="0.25">
      <c r="A1641" s="38">
        <v>25</v>
      </c>
      <c r="B1641" s="34" t="s">
        <v>984</v>
      </c>
      <c r="C1641" s="18">
        <v>25541000000</v>
      </c>
      <c r="D1641" s="32" t="s">
        <v>3158</v>
      </c>
      <c r="E1641" s="5">
        <v>9.9290000000000003</v>
      </c>
      <c r="F1641" s="5">
        <v>2.5999999999999999E-2</v>
      </c>
      <c r="G1641" s="5">
        <f t="shared" si="399"/>
        <v>9.9550000000000001</v>
      </c>
      <c r="H1641" s="49">
        <v>31684.852429999999</v>
      </c>
      <c r="I1641" s="49"/>
      <c r="J1641" s="5">
        <f t="shared" si="405"/>
        <v>31684.852429999999</v>
      </c>
      <c r="K1641" s="5">
        <f t="shared" si="403"/>
        <v>3182.8078784530385</v>
      </c>
      <c r="L1641" s="5">
        <f t="shared" si="404"/>
        <v>0.93835376478488952</v>
      </c>
      <c r="M1641" s="5">
        <f t="shared" si="406"/>
        <v>0</v>
      </c>
      <c r="N1641" s="5">
        <f t="shared" si="407"/>
        <v>0</v>
      </c>
    </row>
    <row r="1642" spans="1:14" ht="15.75" x14ac:dyDescent="0.25">
      <c r="A1642" s="38">
        <v>25</v>
      </c>
      <c r="B1642" s="34" t="s">
        <v>984</v>
      </c>
      <c r="C1642" s="18">
        <v>25542000000</v>
      </c>
      <c r="D1642" s="32" t="s">
        <v>3159</v>
      </c>
      <c r="E1642" s="5">
        <v>4.6840000000000002</v>
      </c>
      <c r="F1642" s="5">
        <v>2.9000000000000001E-2</v>
      </c>
      <c r="G1642" s="5">
        <f t="shared" si="399"/>
        <v>4.7130000000000001</v>
      </c>
      <c r="H1642" s="49">
        <v>5941.4189699999997</v>
      </c>
      <c r="I1642" s="49"/>
      <c r="J1642" s="5">
        <f t="shared" si="405"/>
        <v>5941.4189699999997</v>
      </c>
      <c r="K1642" s="5">
        <f t="shared" si="403"/>
        <v>1260.6448058561425</v>
      </c>
      <c r="L1642" s="5">
        <f t="shared" si="404"/>
        <v>0.3716626465706046</v>
      </c>
      <c r="M1642" s="5">
        <f t="shared" si="406"/>
        <v>0</v>
      </c>
      <c r="N1642" s="5">
        <f t="shared" si="407"/>
        <v>6756.8</v>
      </c>
    </row>
    <row r="1643" spans="1:14" ht="31.5" x14ac:dyDescent="0.25">
      <c r="A1643" s="38">
        <v>25</v>
      </c>
      <c r="B1643" s="34" t="s">
        <v>985</v>
      </c>
      <c r="C1643" s="18">
        <v>25546000000</v>
      </c>
      <c r="D1643" s="32" t="s">
        <v>3160</v>
      </c>
      <c r="E1643" s="5">
        <v>4.9829999999999997</v>
      </c>
      <c r="F1643" s="5">
        <v>4.8000000000000001E-2</v>
      </c>
      <c r="G1643" s="5">
        <f t="shared" si="399"/>
        <v>5.0309999999999997</v>
      </c>
      <c r="H1643" s="49">
        <v>13768.240362</v>
      </c>
      <c r="I1643" s="49"/>
      <c r="J1643" s="5">
        <f t="shared" si="405"/>
        <v>13768.240362</v>
      </c>
      <c r="K1643" s="5">
        <f t="shared" si="403"/>
        <v>2736.6806523553969</v>
      </c>
      <c r="L1643" s="5">
        <f t="shared" si="404"/>
        <v>0.80682676781602791</v>
      </c>
      <c r="M1643" s="5">
        <f t="shared" si="406"/>
        <v>0</v>
      </c>
      <c r="N1643" s="5">
        <f t="shared" si="407"/>
        <v>1272</v>
      </c>
    </row>
    <row r="1644" spans="1:14" ht="31.5" x14ac:dyDescent="0.25">
      <c r="A1644" s="38">
        <v>25</v>
      </c>
      <c r="B1644" s="34" t="s">
        <v>984</v>
      </c>
      <c r="C1644" s="18">
        <v>25547000000</v>
      </c>
      <c r="D1644" s="32" t="s">
        <v>3161</v>
      </c>
      <c r="E1644" s="86">
        <v>5.4989999999999997</v>
      </c>
      <c r="F1644" s="86">
        <v>2.8000000000000001E-2</v>
      </c>
      <c r="G1644" s="86">
        <f>F1644+E1644</f>
        <v>5.5269999999999992</v>
      </c>
      <c r="H1644" s="86">
        <v>17385.563999999998</v>
      </c>
      <c r="I1644" s="86"/>
      <c r="J1644" s="5">
        <f>H1644+I1644</f>
        <v>17385.563999999998</v>
      </c>
      <c r="K1644" s="5">
        <f>J1644/G1644</f>
        <v>3145.5697485073279</v>
      </c>
      <c r="L1644" s="5">
        <f t="shared" si="404"/>
        <v>0.92737523866502525</v>
      </c>
      <c r="M1644" s="5">
        <f t="shared" si="406"/>
        <v>0</v>
      </c>
      <c r="N1644" s="5">
        <f t="shared" si="407"/>
        <v>0</v>
      </c>
    </row>
    <row r="1645" spans="1:14" ht="31.5" x14ac:dyDescent="0.25">
      <c r="A1645" s="38">
        <v>25</v>
      </c>
      <c r="B1645" s="34" t="s">
        <v>985</v>
      </c>
      <c r="C1645" s="18">
        <v>25548000000</v>
      </c>
      <c r="D1645" s="32" t="s">
        <v>3162</v>
      </c>
      <c r="E1645" s="86">
        <v>7.5229999999999997</v>
      </c>
      <c r="F1645" s="86">
        <v>4.8000000000000001E-2</v>
      </c>
      <c r="G1645" s="86">
        <f>F1645+E1645</f>
        <v>7.5709999999999997</v>
      </c>
      <c r="H1645" s="86">
        <v>10507.3</v>
      </c>
      <c r="I1645" s="86"/>
      <c r="J1645" s="5">
        <f>H1645+I1645</f>
        <v>10507.3</v>
      </c>
      <c r="K1645" s="5">
        <f>J1645/G1645</f>
        <v>1387.835160480782</v>
      </c>
      <c r="L1645" s="5">
        <f t="shared" si="404"/>
        <v>0.40916084082679199</v>
      </c>
      <c r="M1645" s="5">
        <f t="shared" si="406"/>
        <v>0</v>
      </c>
      <c r="N1645" s="5">
        <f t="shared" si="407"/>
        <v>10083.799999999999</v>
      </c>
    </row>
    <row r="1646" spans="1:14" ht="31.5" x14ac:dyDescent="0.25">
      <c r="A1646" s="38">
        <v>25</v>
      </c>
      <c r="B1646" s="34" t="s">
        <v>984</v>
      </c>
      <c r="C1646" s="18">
        <v>25549000000</v>
      </c>
      <c r="D1646" s="32" t="s">
        <v>3163</v>
      </c>
      <c r="E1646" s="86">
        <v>12.598000000000001</v>
      </c>
      <c r="F1646" s="86">
        <v>5.0999999999999997E-2</v>
      </c>
      <c r="G1646" s="86">
        <f>F1646+E1646</f>
        <v>12.649000000000001</v>
      </c>
      <c r="H1646" s="86">
        <v>29820.1</v>
      </c>
      <c r="I1646" s="86"/>
      <c r="J1646" s="5">
        <f>H1646+I1646</f>
        <v>29820.1</v>
      </c>
      <c r="K1646" s="5">
        <f>J1646/G1646</f>
        <v>2357.5065222547232</v>
      </c>
      <c r="L1646" s="5">
        <f t="shared" si="404"/>
        <v>0.69503884781693137</v>
      </c>
      <c r="M1646" s="5">
        <f t="shared" si="406"/>
        <v>0</v>
      </c>
      <c r="N1646" s="5">
        <f t="shared" si="407"/>
        <v>7035</v>
      </c>
    </row>
    <row r="1647" spans="1:14" ht="31.5" x14ac:dyDescent="0.25">
      <c r="A1647" s="38">
        <v>25</v>
      </c>
      <c r="B1647" s="34" t="s">
        <v>984</v>
      </c>
      <c r="C1647" s="18">
        <v>25550000000</v>
      </c>
      <c r="D1647" s="32" t="s">
        <v>3164</v>
      </c>
      <c r="E1647" s="5">
        <v>4.7110000000000003</v>
      </c>
      <c r="F1647" s="5">
        <v>3.5999999999999997E-2</v>
      </c>
      <c r="G1647" s="5">
        <f t="shared" si="399"/>
        <v>4.7469999999999999</v>
      </c>
      <c r="H1647" s="49">
        <v>6209.3</v>
      </c>
      <c r="I1647" s="49"/>
      <c r="J1647" s="5">
        <f t="shared" si="405"/>
        <v>6209.3</v>
      </c>
      <c r="K1647" s="5">
        <f t="shared" si="403"/>
        <v>1308.0471876974932</v>
      </c>
      <c r="L1647" s="5">
        <f t="shared" si="404"/>
        <v>0.38563779215250549</v>
      </c>
      <c r="M1647" s="5">
        <f t="shared" si="406"/>
        <v>0</v>
      </c>
      <c r="N1647" s="5">
        <f t="shared" si="407"/>
        <v>6625.6</v>
      </c>
    </row>
    <row r="1648" spans="1:14" ht="15.75" x14ac:dyDescent="0.25">
      <c r="A1648" s="38">
        <v>25</v>
      </c>
      <c r="B1648" s="34" t="s">
        <v>983</v>
      </c>
      <c r="C1648" s="18">
        <v>25551000000</v>
      </c>
      <c r="D1648" s="32" t="s">
        <v>2723</v>
      </c>
      <c r="E1648" s="86">
        <v>29.419</v>
      </c>
      <c r="F1648" s="86">
        <v>0.14399999999999999</v>
      </c>
      <c r="G1648" s="86">
        <f t="shared" si="399"/>
        <v>29.562999999999999</v>
      </c>
      <c r="H1648" s="86">
        <v>102451.3</v>
      </c>
      <c r="I1648" s="86">
        <f>(-22.8)*0.6</f>
        <v>-13.68</v>
      </c>
      <c r="J1648" s="5">
        <f t="shared" si="405"/>
        <v>102437.62000000001</v>
      </c>
      <c r="K1648" s="5">
        <f t="shared" si="403"/>
        <v>3465.0617325711196</v>
      </c>
      <c r="L1648" s="5">
        <f t="shared" si="404"/>
        <v>1.0215676993832528</v>
      </c>
      <c r="M1648" s="5">
        <f t="shared" si="406"/>
        <v>0</v>
      </c>
      <c r="N1648" s="5">
        <f t="shared" si="407"/>
        <v>0</v>
      </c>
    </row>
    <row r="1649" spans="1:14" ht="31.5" x14ac:dyDescent="0.25">
      <c r="A1649" s="38">
        <v>25</v>
      </c>
      <c r="B1649" s="34" t="s">
        <v>985</v>
      </c>
      <c r="C1649" s="18">
        <v>25552000000</v>
      </c>
      <c r="D1649" s="32" t="s">
        <v>2724</v>
      </c>
      <c r="E1649" s="86">
        <v>7.5049999999999999</v>
      </c>
      <c r="F1649" s="86">
        <v>0.01</v>
      </c>
      <c r="G1649" s="86">
        <f t="shared" ref="G1649:G1657" si="408">F1649+E1649</f>
        <v>7.5149999999999997</v>
      </c>
      <c r="H1649" s="86">
        <v>10098.5</v>
      </c>
      <c r="I1649" s="86"/>
      <c r="J1649" s="5">
        <f t="shared" ref="J1649:J1657" si="409">H1649+I1649</f>
        <v>10098.5</v>
      </c>
      <c r="K1649" s="5">
        <f t="shared" ref="K1649:K1657" si="410">J1649/G1649</f>
        <v>1343.7791084497671</v>
      </c>
      <c r="L1649" s="5">
        <f t="shared" si="404"/>
        <v>0.39617225846065979</v>
      </c>
      <c r="M1649" s="5">
        <f t="shared" si="406"/>
        <v>0</v>
      </c>
      <c r="N1649" s="5">
        <f t="shared" si="407"/>
        <v>10274.1</v>
      </c>
    </row>
    <row r="1650" spans="1:14" ht="31.5" x14ac:dyDescent="0.25">
      <c r="A1650" s="38">
        <v>25</v>
      </c>
      <c r="B1650" s="34" t="s">
        <v>985</v>
      </c>
      <c r="C1650" s="18">
        <v>25553000000</v>
      </c>
      <c r="D1650" s="32" t="s">
        <v>2733</v>
      </c>
      <c r="E1650" s="86">
        <v>5.0670000000000002</v>
      </c>
      <c r="F1650" s="86">
        <v>0.02</v>
      </c>
      <c r="G1650" s="86">
        <f t="shared" si="408"/>
        <v>5.0869999999999997</v>
      </c>
      <c r="H1650" s="86">
        <v>15157.9</v>
      </c>
      <c r="I1650" s="86"/>
      <c r="J1650" s="5">
        <f t="shared" si="409"/>
        <v>15157.9</v>
      </c>
      <c r="K1650" s="5">
        <f t="shared" si="410"/>
        <v>2979.7326518576765</v>
      </c>
      <c r="L1650" s="5">
        <f t="shared" si="404"/>
        <v>0.87848323200773692</v>
      </c>
      <c r="M1650" s="5">
        <f t="shared" si="406"/>
        <v>0</v>
      </c>
      <c r="N1650" s="5">
        <f t="shared" si="407"/>
        <v>297</v>
      </c>
    </row>
    <row r="1651" spans="1:14" ht="15.75" x14ac:dyDescent="0.25">
      <c r="A1651" s="38">
        <v>25</v>
      </c>
      <c r="B1651" s="34" t="s">
        <v>984</v>
      </c>
      <c r="C1651" s="18">
        <v>25554000000</v>
      </c>
      <c r="D1651" s="32" t="s">
        <v>2725</v>
      </c>
      <c r="E1651" s="86">
        <v>3.56</v>
      </c>
      <c r="F1651" s="86">
        <v>1.4E-2</v>
      </c>
      <c r="G1651" s="86">
        <f t="shared" si="408"/>
        <v>3.5739999999999998</v>
      </c>
      <c r="H1651" s="86">
        <v>5158.7</v>
      </c>
      <c r="I1651" s="86"/>
      <c r="J1651" s="5">
        <f t="shared" si="409"/>
        <v>5158.7</v>
      </c>
      <c r="K1651" s="5">
        <f t="shared" si="410"/>
        <v>1443.3967543368774</v>
      </c>
      <c r="L1651" s="5">
        <f t="shared" si="404"/>
        <v>0.42554148105495943</v>
      </c>
      <c r="M1651" s="5">
        <f t="shared" si="406"/>
        <v>0</v>
      </c>
      <c r="N1651" s="5">
        <f t="shared" si="407"/>
        <v>4601.3999999999996</v>
      </c>
    </row>
    <row r="1652" spans="1:14" ht="15.75" x14ac:dyDescent="0.25">
      <c r="A1652" s="38">
        <v>25</v>
      </c>
      <c r="B1652" s="34" t="s">
        <v>985</v>
      </c>
      <c r="C1652" s="18">
        <v>25555000000</v>
      </c>
      <c r="D1652" s="32" t="s">
        <v>2726</v>
      </c>
      <c r="E1652" s="86">
        <v>8.5850000000000009</v>
      </c>
      <c r="F1652" s="86">
        <v>3.9E-2</v>
      </c>
      <c r="G1652" s="86">
        <f t="shared" si="408"/>
        <v>8.6240000000000006</v>
      </c>
      <c r="H1652" s="86">
        <v>17019.7</v>
      </c>
      <c r="I1652" s="86"/>
      <c r="J1652" s="5">
        <f t="shared" si="409"/>
        <v>17019.7</v>
      </c>
      <c r="K1652" s="5">
        <f t="shared" si="410"/>
        <v>1973.5273654916512</v>
      </c>
      <c r="L1652" s="5">
        <f t="shared" si="404"/>
        <v>0.58183431235415028</v>
      </c>
      <c r="M1652" s="5">
        <f t="shared" si="406"/>
        <v>0</v>
      </c>
      <c r="N1652" s="5">
        <f t="shared" si="407"/>
        <v>7445.5</v>
      </c>
    </row>
    <row r="1653" spans="1:14" ht="15.75" x14ac:dyDescent="0.25">
      <c r="A1653" s="38">
        <v>25</v>
      </c>
      <c r="B1653" s="34" t="s">
        <v>986</v>
      </c>
      <c r="C1653" s="18">
        <v>25556000000</v>
      </c>
      <c r="D1653" s="32" t="s">
        <v>2727</v>
      </c>
      <c r="E1653" s="86">
        <v>52.552999999999997</v>
      </c>
      <c r="F1653" s="86">
        <v>0.50900000000000001</v>
      </c>
      <c r="G1653" s="86">
        <f t="shared" si="408"/>
        <v>53.061999999999998</v>
      </c>
      <c r="H1653" s="83">
        <v>224062.01784000001</v>
      </c>
      <c r="I1653" s="83">
        <f>(-0.3-5.2-83.1+1092.463+251.148)*0.6</f>
        <v>753.00659999999993</v>
      </c>
      <c r="J1653" s="5">
        <f t="shared" si="409"/>
        <v>224815.02444000001</v>
      </c>
      <c r="K1653" s="5">
        <f t="shared" si="410"/>
        <v>4236.8366145264035</v>
      </c>
      <c r="L1653" s="5">
        <f t="shared" si="404"/>
        <v>1.2491019690298206</v>
      </c>
      <c r="M1653" s="5">
        <f t="shared" si="406"/>
        <v>13417.8</v>
      </c>
      <c r="N1653" s="5">
        <f t="shared" si="407"/>
        <v>0</v>
      </c>
    </row>
    <row r="1654" spans="1:14" ht="31.5" x14ac:dyDescent="0.25">
      <c r="A1654" s="38">
        <v>25</v>
      </c>
      <c r="B1654" s="34" t="s">
        <v>985</v>
      </c>
      <c r="C1654" s="18">
        <v>25557000000</v>
      </c>
      <c r="D1654" s="32" t="s">
        <v>2728</v>
      </c>
      <c r="E1654" s="86">
        <v>14.577999999999999</v>
      </c>
      <c r="F1654" s="86">
        <v>5.1999999999999998E-2</v>
      </c>
      <c r="G1654" s="86">
        <f t="shared" si="408"/>
        <v>14.629999999999999</v>
      </c>
      <c r="H1654" s="86">
        <v>32111.887964000001</v>
      </c>
      <c r="I1654" s="86">
        <f>(-6.43846)*0.6</f>
        <v>-3.863076</v>
      </c>
      <c r="J1654" s="5">
        <f t="shared" si="409"/>
        <v>32108.024888</v>
      </c>
      <c r="K1654" s="5">
        <f t="shared" si="410"/>
        <v>2194.6701905673276</v>
      </c>
      <c r="L1654" s="5">
        <f t="shared" si="404"/>
        <v>0.64703152512647288</v>
      </c>
      <c r="M1654" s="5">
        <f t="shared" si="406"/>
        <v>0</v>
      </c>
      <c r="N1654" s="5">
        <f t="shared" si="407"/>
        <v>10042.6</v>
      </c>
    </row>
    <row r="1655" spans="1:14" ht="31.5" x14ac:dyDescent="0.25">
      <c r="A1655" s="38">
        <v>25</v>
      </c>
      <c r="B1655" s="34" t="s">
        <v>985</v>
      </c>
      <c r="C1655" s="18">
        <v>25558000000</v>
      </c>
      <c r="D1655" s="32" t="s">
        <v>2729</v>
      </c>
      <c r="E1655" s="86">
        <v>3.3450000000000002</v>
      </c>
      <c r="F1655" s="86">
        <v>0.01</v>
      </c>
      <c r="G1655" s="86">
        <f t="shared" si="408"/>
        <v>3.355</v>
      </c>
      <c r="H1655" s="86">
        <v>4544.7617399999999</v>
      </c>
      <c r="I1655" s="86"/>
      <c r="J1655" s="5">
        <f t="shared" si="409"/>
        <v>4544.7617399999999</v>
      </c>
      <c r="K1655" s="5">
        <f t="shared" si="410"/>
        <v>1354.6234694485843</v>
      </c>
      <c r="L1655" s="5">
        <f t="shared" si="404"/>
        <v>0.39936938733507754</v>
      </c>
      <c r="M1655" s="5">
        <f t="shared" si="406"/>
        <v>0</v>
      </c>
      <c r="N1655" s="5">
        <f t="shared" si="407"/>
        <v>4557.7</v>
      </c>
    </row>
    <row r="1656" spans="1:14" ht="15.75" x14ac:dyDescent="0.25">
      <c r="A1656" s="38">
        <v>25</v>
      </c>
      <c r="B1656" s="34" t="s">
        <v>986</v>
      </c>
      <c r="C1656" s="18">
        <v>25559000000</v>
      </c>
      <c r="D1656" s="32" t="s">
        <v>2730</v>
      </c>
      <c r="E1656" s="86">
        <v>285.23399999999998</v>
      </c>
      <c r="F1656" s="86">
        <v>2.569</v>
      </c>
      <c r="G1656" s="86">
        <f t="shared" si="408"/>
        <v>287.803</v>
      </c>
      <c r="H1656" s="83">
        <v>1171876.3564400002</v>
      </c>
      <c r="I1656" s="83">
        <f>(168.42766+116.07476-110.6-0.1-37.1-57.9-0.3-0.1-14.6-25.5-6.2-7.9-51.1-32.1-19.7-49.3-26.6-6-53.9-0.9-3.3-2.2-2.8-98.3-626.1-44.2-48.4-3.9-51.9-1.3-63.4+33.7)*0.6</f>
        <v>-676.49854800000014</v>
      </c>
      <c r="J1656" s="5">
        <f t="shared" si="409"/>
        <v>1171199.8578920003</v>
      </c>
      <c r="K1656" s="5">
        <f t="shared" si="410"/>
        <v>4069.4497899326984</v>
      </c>
      <c r="L1656" s="5">
        <f t="shared" si="404"/>
        <v>1.1997530723853798</v>
      </c>
      <c r="M1656" s="5">
        <f t="shared" si="406"/>
        <v>48689.5</v>
      </c>
      <c r="N1656" s="5">
        <f t="shared" si="407"/>
        <v>0</v>
      </c>
    </row>
    <row r="1657" spans="1:14" ht="31.5" x14ac:dyDescent="0.25">
      <c r="A1657" s="38">
        <v>25</v>
      </c>
      <c r="B1657" s="34" t="s">
        <v>984</v>
      </c>
      <c r="C1657" s="18">
        <v>25560000000</v>
      </c>
      <c r="D1657" s="32" t="s">
        <v>2731</v>
      </c>
      <c r="E1657" s="86">
        <v>3.3860000000000001</v>
      </c>
      <c r="F1657" s="86">
        <v>1.7000000000000001E-2</v>
      </c>
      <c r="G1657" s="86">
        <f t="shared" si="408"/>
        <v>3.403</v>
      </c>
      <c r="H1657" s="86">
        <v>9257.7999999999993</v>
      </c>
      <c r="I1657" s="86"/>
      <c r="J1657" s="5">
        <f t="shared" si="409"/>
        <v>9257.7999999999993</v>
      </c>
      <c r="K1657" s="5">
        <f t="shared" si="410"/>
        <v>2720.4819277108431</v>
      </c>
      <c r="L1657" s="5">
        <f t="shared" si="404"/>
        <v>0.80205106823396</v>
      </c>
      <c r="M1657" s="5">
        <f t="shared" si="406"/>
        <v>0</v>
      </c>
      <c r="N1657" s="5">
        <f t="shared" si="407"/>
        <v>904.5</v>
      </c>
    </row>
    <row r="1658" spans="1:14" ht="15.75" x14ac:dyDescent="0.25">
      <c r="A1658" s="36">
        <v>26</v>
      </c>
      <c r="B1658" s="17" t="s">
        <v>7</v>
      </c>
      <c r="C1658" s="17" t="s">
        <v>223</v>
      </c>
      <c r="D1658" s="11" t="s">
        <v>881</v>
      </c>
      <c r="E1658" s="11">
        <v>2962.18</v>
      </c>
      <c r="F1658" s="11">
        <v>167.59700000000001</v>
      </c>
      <c r="G1658" s="11">
        <f>E1658+F1658</f>
        <v>3129.777</v>
      </c>
      <c r="H1658" s="11">
        <v>24566456.899999999</v>
      </c>
      <c r="I1658" s="11">
        <f>(366.329+1163.377+349.1+852.5+3664.3+253.2+211.9+627+283.5+212.725+947.529+34.37+6.7437+54+15.568+20.97+17.007+44.637+62.39791+73.05461+79.77855+48.91654+78.50975+100.37203+289.58149+847.6267+85.35999+263.99091+133.39935+871.70115+464.71345+8109.5+2864.8+49.4+25.6+25.7+37.8+37.6+34.5+32.3+71.5+398+447.6+148.6+171.438+2381.4+1075.2+7.6+3+0.3+5.2+83.1+20.684+0.21314+0.1+37.1+57.9+0.3+0.1+14.6+25.5+6.2+7.9+51.1+32.1+19.7+49.3+26.6+6+53.9+0.4+8.3+122.8+120.8+81.4+81+101.6+180.5+187.3+171.1+168.5+87.8+32.97+31.37+36.161+1028.801+59.9+222.8+28+27.5+35.9+41.7+32.8+21.3+32+18.5+12.69+100.4+49.572+30.646+15.9+113.3+5.3+67.3+20.4+786.7+11+132.8+585+29383.1+91+6.7+151.5+1.3+19.8+1.8+40+46.7+13+4.5+49+3.8+26.3+39.5+6.6+22.8+30.9+10.44+19.949+2205.9)*0.6</f>
        <v>39606.235361999999</v>
      </c>
      <c r="J1658" s="11"/>
      <c r="K1658" s="11"/>
      <c r="L1658" s="11"/>
      <c r="M1658" s="11"/>
      <c r="N1658" s="11"/>
    </row>
    <row r="1659" spans="1:14" ht="15.75" x14ac:dyDescent="0.25">
      <c r="A1659" s="40" t="s">
        <v>3</v>
      </c>
      <c r="B1659" s="41" t="s">
        <v>7</v>
      </c>
      <c r="C1659" s="42">
        <v>95000000000</v>
      </c>
      <c r="D1659" s="43" t="s">
        <v>993</v>
      </c>
      <c r="E1659" s="88">
        <f>E5+E78+E140+E237+E292+E366+E440+E516+E588+E668+E725+E759+E843+E903+E1005+E1073+E1145+E1205+E1267+E1334+E1392+E1459+E1533+E1592</f>
        <v>34881.043999999994</v>
      </c>
      <c r="F1659" s="88">
        <f>F5+F78+F140+F237+F292+F366+F440+F516+F588+F668+F725+F759+F843+F903+F1005+F1073+F1145+F1205+F1267+F1334+F1392+F1459+F1533+F1592</f>
        <v>1292.4610000000002</v>
      </c>
      <c r="G1659" s="88">
        <f>G5+G78+G140+G237+G292+G366+G440+G516+G588+G668+G725+G759+G843+G903+G1005+G1073+G1145+G1205+G1267+G1334+G1392+G1459+G1533+G1592</f>
        <v>36125.534</v>
      </c>
      <c r="H1659" s="48">
        <f>H5+H78+H140+H237+H292+H366+H440+H516+H588+H668+H725+H759+H843+H903+H1005+H1073+H1145+H1205+H1267+H1334+H1392+H1459+H1533+H1592</f>
        <v>122574026.13496302</v>
      </c>
      <c r="I1659" s="93">
        <f>I5+I78+I140+I237+I292+I366+I440+I516+I588+I668+I725+I759+I843+I903+I1005+I1073+I1145+I1205+I1267+I1334+I1392+I1459+I1533+I1592+I1658</f>
        <v>0</v>
      </c>
      <c r="J1659" s="48">
        <f>J5+J78+J140+J237+J292+J366+J440+J516+J588+J668+J725+J759+J843+J903+J1005+J1073+J1145+J1205+J1267+J1334+J1392+J1459+J1533+J1592</f>
        <v>122534419.89960103</v>
      </c>
      <c r="K1659" s="48">
        <f>J1659/G1659</f>
        <v>3391.9061210168138</v>
      </c>
      <c r="L1659" s="48">
        <f>K1659/$K$1659</f>
        <v>1</v>
      </c>
      <c r="M1659" s="48">
        <f>M5+M78+M140+M237+M292+M366+M440+M516+M588+M668+M725+M759+M843+M903+M1005+M1073+M1145+M1205+M1267+M1334+M1392+M1459+M1533+M1592</f>
        <v>9574944.5</v>
      </c>
      <c r="N1659" s="48">
        <f>N5+N78+N140+N237+N292+N366+N440+N516+N588+N668+N725+N759+N843+N903+N1005+N1073+N1145+N1205+N1267+N1334+N1392+N1459+N1533+N1592</f>
        <v>14538676</v>
      </c>
    </row>
    <row r="1660" spans="1:14" ht="31.5" x14ac:dyDescent="0.25">
      <c r="A1660" s="72" t="s">
        <v>3</v>
      </c>
      <c r="B1660" s="73" t="s">
        <v>7</v>
      </c>
      <c r="C1660" s="16">
        <v>96000000000</v>
      </c>
      <c r="D1660" s="5" t="s">
        <v>994</v>
      </c>
      <c r="E1660" s="49"/>
      <c r="F1660" s="49"/>
      <c r="G1660" s="49"/>
      <c r="H1660" s="49"/>
      <c r="I1660" s="49"/>
      <c r="J1660" s="49"/>
      <c r="K1660" s="49"/>
      <c r="L1660" s="49"/>
      <c r="M1660" s="49"/>
      <c r="N1660" s="49"/>
    </row>
    <row r="1661" spans="1:14" ht="15.75" x14ac:dyDescent="0.25">
      <c r="A1661" s="72" t="s">
        <v>3</v>
      </c>
      <c r="B1661" s="73" t="s">
        <v>7</v>
      </c>
      <c r="C1661" s="16">
        <v>97000000000</v>
      </c>
      <c r="D1661" s="5" t="s">
        <v>995</v>
      </c>
      <c r="E1661" s="49"/>
      <c r="F1661" s="49"/>
      <c r="G1661" s="49"/>
      <c r="H1661" s="49"/>
      <c r="I1661" s="49"/>
      <c r="J1661" s="49"/>
      <c r="K1661" s="49"/>
      <c r="L1661" s="49"/>
      <c r="M1661" s="49"/>
      <c r="N1661" s="49"/>
    </row>
    <row r="1662" spans="1:14" ht="63" x14ac:dyDescent="0.25">
      <c r="A1662" s="72" t="s">
        <v>3</v>
      </c>
      <c r="B1662" s="73" t="s">
        <v>7</v>
      </c>
      <c r="C1662" s="16">
        <v>98000000000</v>
      </c>
      <c r="D1662" s="5" t="s">
        <v>996</v>
      </c>
      <c r="E1662" s="49"/>
      <c r="F1662" s="49"/>
      <c r="G1662" s="49"/>
      <c r="H1662" s="49"/>
      <c r="I1662" s="49"/>
      <c r="J1662" s="49"/>
      <c r="K1662" s="49"/>
      <c r="L1662" s="49"/>
      <c r="M1662" s="49"/>
      <c r="N1662" s="49"/>
    </row>
    <row r="1663" spans="1:14" ht="15.75" x14ac:dyDescent="0.25">
      <c r="A1663" s="46" t="s">
        <v>3</v>
      </c>
      <c r="B1663" s="46" t="s">
        <v>7</v>
      </c>
      <c r="C1663" s="74">
        <v>99000000000</v>
      </c>
      <c r="D1663" s="43" t="s">
        <v>1062</v>
      </c>
      <c r="E1663" s="48">
        <f>E1659+E1660+E1661+E1662</f>
        <v>34881.043999999994</v>
      </c>
      <c r="F1663" s="48">
        <f t="shared" ref="F1663:N1663" si="411">F1659+F1660+F1661+F1662</f>
        <v>1292.4610000000002</v>
      </c>
      <c r="G1663" s="48">
        <f t="shared" si="411"/>
        <v>36125.534</v>
      </c>
      <c r="H1663" s="48">
        <f t="shared" si="411"/>
        <v>122574026.13496302</v>
      </c>
      <c r="I1663" s="48">
        <f t="shared" si="411"/>
        <v>0</v>
      </c>
      <c r="J1663" s="48">
        <f t="shared" si="411"/>
        <v>122534419.89960103</v>
      </c>
      <c r="K1663" s="92">
        <f t="shared" si="411"/>
        <v>3391.9061210168138</v>
      </c>
      <c r="L1663" s="48">
        <f t="shared" si="411"/>
        <v>1</v>
      </c>
      <c r="M1663" s="48">
        <f t="shared" si="411"/>
        <v>9574944.5</v>
      </c>
      <c r="N1663" s="48">
        <f t="shared" si="411"/>
        <v>14538676</v>
      </c>
    </row>
    <row r="1664" spans="1:14" x14ac:dyDescent="0.25">
      <c r="D1664" s="31" t="s">
        <v>997</v>
      </c>
    </row>
    <row r="1665" spans="6:11" x14ac:dyDescent="0.25">
      <c r="F1665" s="78"/>
      <c r="H1665" s="90"/>
    </row>
    <row r="1666" spans="6:11" ht="15.75" x14ac:dyDescent="0.25">
      <c r="J1666" s="4"/>
      <c r="K1666" s="8"/>
    </row>
    <row r="1667" spans="6:11" ht="15.75" x14ac:dyDescent="0.25">
      <c r="K1667" s="8"/>
    </row>
    <row r="1671" spans="6:11" x14ac:dyDescent="0.25">
      <c r="H1671" s="78"/>
    </row>
  </sheetData>
  <autoFilter ref="A4:N1663"/>
  <mergeCells count="14">
    <mergeCell ref="I3:I4"/>
    <mergeCell ref="J3:J4"/>
    <mergeCell ref="K3:K4"/>
    <mergeCell ref="L3:L4"/>
    <mergeCell ref="M3:M4"/>
    <mergeCell ref="N3:N4"/>
    <mergeCell ref="E3:E4"/>
    <mergeCell ref="F3:F4"/>
    <mergeCell ref="A1:N1"/>
    <mergeCell ref="A3:B3"/>
    <mergeCell ref="C3:C4"/>
    <mergeCell ref="D3:D4"/>
    <mergeCell ref="G3:G4"/>
    <mergeCell ref="H3:H4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52" fitToHeight="34" orientation="landscape" r:id="rId1"/>
  <headerFooter>
    <oddFooter>Сторінка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889"/>
  <sheetViews>
    <sheetView view="pageBreakPreview" topLeftCell="A430" zoomScale="70" zoomScaleSheetLayoutView="70" workbookViewId="0">
      <selection activeCell="N460" sqref="N460"/>
    </sheetView>
  </sheetViews>
  <sheetFormatPr defaultRowHeight="15" x14ac:dyDescent="0.25"/>
  <cols>
    <col min="1" max="1" width="7.85546875" customWidth="1"/>
    <col min="2" max="2" width="9.42578125" customWidth="1"/>
    <col min="3" max="3" width="17.7109375" customWidth="1"/>
    <col min="4" max="4" width="73.28515625" customWidth="1"/>
    <col min="5" max="5" width="16.7109375" customWidth="1"/>
    <col min="6" max="6" width="18.7109375" customWidth="1"/>
  </cols>
  <sheetData>
    <row r="1" spans="1:6" ht="21" x14ac:dyDescent="0.35">
      <c r="D1" s="105" t="s">
        <v>27</v>
      </c>
      <c r="E1" s="105"/>
      <c r="F1" s="105"/>
    </row>
    <row r="3" spans="1:6" ht="54" customHeight="1" x14ac:dyDescent="0.25">
      <c r="A3" s="106" t="s">
        <v>998</v>
      </c>
      <c r="B3" s="107"/>
      <c r="C3" s="108" t="s">
        <v>732</v>
      </c>
      <c r="D3" s="109" t="s">
        <v>1001</v>
      </c>
      <c r="E3" s="109" t="s">
        <v>1004</v>
      </c>
      <c r="F3" s="109" t="s">
        <v>305</v>
      </c>
    </row>
    <row r="4" spans="1:6" ht="60.75" customHeight="1" x14ac:dyDescent="0.25">
      <c r="A4" s="15" t="s">
        <v>999</v>
      </c>
      <c r="B4" s="15" t="s">
        <v>1000</v>
      </c>
      <c r="C4" s="108"/>
      <c r="D4" s="110"/>
      <c r="E4" s="110"/>
      <c r="F4" s="110"/>
    </row>
    <row r="5" spans="1:6" ht="15.75" x14ac:dyDescent="0.25">
      <c r="A5" s="17" t="s">
        <v>748</v>
      </c>
      <c r="B5" s="17" t="s">
        <v>7</v>
      </c>
      <c r="C5" s="17" t="s">
        <v>749</v>
      </c>
      <c r="D5" s="11" t="s">
        <v>8</v>
      </c>
      <c r="E5" s="11">
        <f>E6+E7+E14</f>
        <v>353294.10000000003</v>
      </c>
      <c r="F5" s="11">
        <f>F6+F7+F14</f>
        <v>560711.30000000005</v>
      </c>
    </row>
    <row r="6" spans="1:6" ht="15.75" x14ac:dyDescent="0.25">
      <c r="A6" s="33" t="s">
        <v>748</v>
      </c>
      <c r="B6" s="34" t="s">
        <v>6</v>
      </c>
      <c r="C6" s="18" t="s">
        <v>29</v>
      </c>
      <c r="D6" s="32" t="s">
        <v>837</v>
      </c>
      <c r="E6" s="5">
        <f>'ПДФО ОБЛАСНІ'!K4+'ПОДАТОК НА ПРИБУТОК'!K4</f>
        <v>0</v>
      </c>
      <c r="F6" s="5">
        <f>'ПДФО ОБЛАСНІ'!L4+'ПОДАТОК НА ПРИБУТОК'!L4</f>
        <v>21496.5</v>
      </c>
    </row>
    <row r="7" spans="1:6" ht="15.75" x14ac:dyDescent="0.25">
      <c r="A7" s="19" t="s">
        <v>748</v>
      </c>
      <c r="B7" s="19" t="s">
        <v>5</v>
      </c>
      <c r="C7" s="19" t="s">
        <v>750</v>
      </c>
      <c r="D7" s="7" t="s">
        <v>2792</v>
      </c>
      <c r="E7" s="7">
        <f>SUM(E8:E13)</f>
        <v>0</v>
      </c>
      <c r="F7" s="7">
        <f>SUM(F8:F13)</f>
        <v>0</v>
      </c>
    </row>
    <row r="8" spans="1:6" ht="15.75" x14ac:dyDescent="0.25">
      <c r="A8" s="33" t="s">
        <v>748</v>
      </c>
      <c r="B8" s="34" t="s">
        <v>4</v>
      </c>
      <c r="C8" s="18" t="s">
        <v>30</v>
      </c>
      <c r="D8" s="32" t="s">
        <v>882</v>
      </c>
      <c r="E8" s="5">
        <f>'ПДФО ГРОМАДИ'!M8</f>
        <v>0</v>
      </c>
      <c r="F8" s="5">
        <f>'ПДФО ГРОМАДИ'!N8</f>
        <v>0</v>
      </c>
    </row>
    <row r="9" spans="1:6" ht="15.75" x14ac:dyDescent="0.25">
      <c r="A9" s="33" t="s">
        <v>748</v>
      </c>
      <c r="B9" s="34" t="s">
        <v>4</v>
      </c>
      <c r="C9" s="18" t="s">
        <v>31</v>
      </c>
      <c r="D9" s="32" t="s">
        <v>883</v>
      </c>
      <c r="E9" s="5">
        <f>'ПДФО ГРОМАДИ'!M9</f>
        <v>0</v>
      </c>
      <c r="F9" s="5">
        <f>'ПДФО ГРОМАДИ'!N9</f>
        <v>0</v>
      </c>
    </row>
    <row r="10" spans="1:6" ht="15.75" x14ac:dyDescent="0.25">
      <c r="A10" s="33" t="s">
        <v>748</v>
      </c>
      <c r="B10" s="34" t="s">
        <v>4</v>
      </c>
      <c r="C10" s="18" t="s">
        <v>2734</v>
      </c>
      <c r="D10" s="32" t="s">
        <v>2735</v>
      </c>
      <c r="E10" s="5">
        <f>'ПДФО ГРОМАДИ'!M10</f>
        <v>0</v>
      </c>
      <c r="F10" s="5">
        <f>'ПДФО ГРОМАДИ'!N10</f>
        <v>0</v>
      </c>
    </row>
    <row r="11" spans="1:6" ht="15.75" x14ac:dyDescent="0.25">
      <c r="A11" s="33" t="s">
        <v>748</v>
      </c>
      <c r="B11" s="33" t="s">
        <v>4</v>
      </c>
      <c r="C11" s="18" t="s">
        <v>32</v>
      </c>
      <c r="D11" s="32" t="s">
        <v>884</v>
      </c>
      <c r="E11" s="5">
        <f>'ПДФО ГРОМАДИ'!M11</f>
        <v>0</v>
      </c>
      <c r="F11" s="5">
        <f>'ПДФО ГРОМАДИ'!N11</f>
        <v>0</v>
      </c>
    </row>
    <row r="12" spans="1:6" ht="15.75" x14ac:dyDescent="0.25">
      <c r="A12" s="33" t="s">
        <v>748</v>
      </c>
      <c r="B12" s="34" t="s">
        <v>4</v>
      </c>
      <c r="C12" s="18" t="s">
        <v>33</v>
      </c>
      <c r="D12" s="32" t="s">
        <v>885</v>
      </c>
      <c r="E12" s="5">
        <f>'ПДФО ГРОМАДИ'!M12</f>
        <v>0</v>
      </c>
      <c r="F12" s="5">
        <f>'ПДФО ГРОМАДИ'!N12</f>
        <v>0</v>
      </c>
    </row>
    <row r="13" spans="1:6" ht="15.75" x14ac:dyDescent="0.25">
      <c r="A13" s="33" t="s">
        <v>748</v>
      </c>
      <c r="B13" s="34" t="s">
        <v>4</v>
      </c>
      <c r="C13" s="18" t="s">
        <v>34</v>
      </c>
      <c r="D13" s="32" t="s">
        <v>886</v>
      </c>
      <c r="E13" s="5">
        <f>'ПДФО ГРОМАДИ'!M13</f>
        <v>0</v>
      </c>
      <c r="F13" s="5">
        <f>'ПДФО ГРОМАДИ'!N13</f>
        <v>0</v>
      </c>
    </row>
    <row r="14" spans="1:6" ht="15.75" x14ac:dyDescent="0.25">
      <c r="A14" s="19" t="s">
        <v>748</v>
      </c>
      <c r="B14" s="19" t="s">
        <v>28</v>
      </c>
      <c r="C14" s="19" t="s">
        <v>751</v>
      </c>
      <c r="D14" s="20" t="s">
        <v>2768</v>
      </c>
      <c r="E14" s="7">
        <f>SUM(E15:E77)</f>
        <v>353294.10000000003</v>
      </c>
      <c r="F14" s="7">
        <f>SUM(F15:F77)</f>
        <v>539214.80000000005</v>
      </c>
    </row>
    <row r="15" spans="1:6" ht="15.75" x14ac:dyDescent="0.25">
      <c r="A15" s="33" t="s">
        <v>748</v>
      </c>
      <c r="B15" s="34" t="s">
        <v>983</v>
      </c>
      <c r="C15" s="18" t="s">
        <v>224</v>
      </c>
      <c r="D15" s="32" t="s">
        <v>1065</v>
      </c>
      <c r="E15" s="5">
        <f>'ПДФО ГРОМАДИ'!M15</f>
        <v>0</v>
      </c>
      <c r="F15" s="5">
        <f>'ПДФО ГРОМАДИ'!N15</f>
        <v>0</v>
      </c>
    </row>
    <row r="16" spans="1:6" ht="15.75" x14ac:dyDescent="0.25">
      <c r="A16" s="33" t="s">
        <v>748</v>
      </c>
      <c r="B16" s="34" t="s">
        <v>984</v>
      </c>
      <c r="C16" s="18" t="s">
        <v>225</v>
      </c>
      <c r="D16" s="32" t="s">
        <v>1066</v>
      </c>
      <c r="E16" s="5">
        <f>'ПДФО ГРОМАДИ'!M16</f>
        <v>0</v>
      </c>
      <c r="F16" s="5">
        <f>'ПДФО ГРОМАДИ'!N16</f>
        <v>2025.5</v>
      </c>
    </row>
    <row r="17" spans="1:6" ht="15.75" x14ac:dyDescent="0.25">
      <c r="A17" s="33" t="s">
        <v>748</v>
      </c>
      <c r="B17" s="34" t="s">
        <v>983</v>
      </c>
      <c r="C17" s="18" t="s">
        <v>297</v>
      </c>
      <c r="D17" s="32" t="s">
        <v>1067</v>
      </c>
      <c r="E17" s="5">
        <f>'ПДФО ГРОМАДИ'!M17</f>
        <v>10188.6</v>
      </c>
      <c r="F17" s="5">
        <f>'ПДФО ГРОМАДИ'!N17</f>
        <v>0</v>
      </c>
    </row>
    <row r="18" spans="1:6" ht="15.75" x14ac:dyDescent="0.25">
      <c r="A18" s="33" t="s">
        <v>748</v>
      </c>
      <c r="B18" s="34" t="s">
        <v>985</v>
      </c>
      <c r="C18" s="18" t="s">
        <v>298</v>
      </c>
      <c r="D18" s="32" t="s">
        <v>1068</v>
      </c>
      <c r="E18" s="5">
        <f>'ПДФО ГРОМАДИ'!M18</f>
        <v>0</v>
      </c>
      <c r="F18" s="5">
        <f>'ПДФО ГРОМАДИ'!N18</f>
        <v>4463.5</v>
      </c>
    </row>
    <row r="19" spans="1:6" ht="15.75" x14ac:dyDescent="0.25">
      <c r="A19" s="33" t="s">
        <v>748</v>
      </c>
      <c r="B19" s="34" t="s">
        <v>983</v>
      </c>
      <c r="C19" s="18" t="s">
        <v>306</v>
      </c>
      <c r="D19" s="32" t="s">
        <v>1069</v>
      </c>
      <c r="E19" s="5">
        <f>'ПДФО ГРОМАДИ'!M19</f>
        <v>0</v>
      </c>
      <c r="F19" s="5">
        <f>'ПДФО ГРОМАДИ'!N19</f>
        <v>21312.7</v>
      </c>
    </row>
    <row r="20" spans="1:6" ht="15.75" x14ac:dyDescent="0.25">
      <c r="A20" s="33" t="s">
        <v>748</v>
      </c>
      <c r="B20" s="34" t="s">
        <v>983</v>
      </c>
      <c r="C20" s="18" t="s">
        <v>307</v>
      </c>
      <c r="D20" s="32" t="s">
        <v>1070</v>
      </c>
      <c r="E20" s="5">
        <f>'ПДФО ГРОМАДИ'!M20</f>
        <v>0</v>
      </c>
      <c r="F20" s="5">
        <f>'ПДФО ГРОМАДИ'!N20</f>
        <v>0</v>
      </c>
    </row>
    <row r="21" spans="1:6" ht="15.75" x14ac:dyDescent="0.25">
      <c r="A21" s="33" t="s">
        <v>748</v>
      </c>
      <c r="B21" s="34" t="s">
        <v>983</v>
      </c>
      <c r="C21" s="18" t="s">
        <v>308</v>
      </c>
      <c r="D21" s="32" t="s">
        <v>1071</v>
      </c>
      <c r="E21" s="5">
        <f>'ПДФО ГРОМАДИ'!M21</f>
        <v>0</v>
      </c>
      <c r="F21" s="5">
        <f>'ПДФО ГРОМАДИ'!N21</f>
        <v>8251</v>
      </c>
    </row>
    <row r="22" spans="1:6" ht="15.75" x14ac:dyDescent="0.25">
      <c r="A22" s="33" t="s">
        <v>748</v>
      </c>
      <c r="B22" s="34" t="s">
        <v>985</v>
      </c>
      <c r="C22" s="18" t="s">
        <v>309</v>
      </c>
      <c r="D22" s="32" t="s">
        <v>1072</v>
      </c>
      <c r="E22" s="5">
        <f>'ПДФО ГРОМАДИ'!M22</f>
        <v>0</v>
      </c>
      <c r="F22" s="5">
        <f>'ПДФО ГРОМАДИ'!N22</f>
        <v>13669.8</v>
      </c>
    </row>
    <row r="23" spans="1:6" ht="15.75" x14ac:dyDescent="0.25">
      <c r="A23" s="33" t="s">
        <v>748</v>
      </c>
      <c r="B23" s="34" t="s">
        <v>985</v>
      </c>
      <c r="C23" s="18" t="s">
        <v>310</v>
      </c>
      <c r="D23" s="32" t="s">
        <v>1073</v>
      </c>
      <c r="E23" s="5">
        <f>'ПДФО ГРОМАДИ'!M23</f>
        <v>0</v>
      </c>
      <c r="F23" s="5">
        <f>'ПДФО ГРОМАДИ'!N23</f>
        <v>17459.7</v>
      </c>
    </row>
    <row r="24" spans="1:6" ht="15.75" x14ac:dyDescent="0.25">
      <c r="A24" s="33" t="s">
        <v>748</v>
      </c>
      <c r="B24" s="34" t="s">
        <v>985</v>
      </c>
      <c r="C24" s="18" t="s">
        <v>311</v>
      </c>
      <c r="D24" s="32" t="s">
        <v>1074</v>
      </c>
      <c r="E24" s="5">
        <f>'ПДФО ГРОМАДИ'!M24</f>
        <v>0</v>
      </c>
      <c r="F24" s="5">
        <f>'ПДФО ГРОМАДИ'!N24</f>
        <v>1550.3</v>
      </c>
    </row>
    <row r="25" spans="1:6" ht="15.75" x14ac:dyDescent="0.25">
      <c r="A25" s="33" t="s">
        <v>748</v>
      </c>
      <c r="B25" s="34" t="s">
        <v>985</v>
      </c>
      <c r="C25" s="18" t="s">
        <v>312</v>
      </c>
      <c r="D25" s="32" t="s">
        <v>1075</v>
      </c>
      <c r="E25" s="5">
        <f>'ПДФО ГРОМАДИ'!M25</f>
        <v>0</v>
      </c>
      <c r="F25" s="5">
        <f>'ПДФО ГРОМАДИ'!N25</f>
        <v>3640.8</v>
      </c>
    </row>
    <row r="26" spans="1:6" ht="15.75" x14ac:dyDescent="0.25">
      <c r="A26" s="33" t="s">
        <v>748</v>
      </c>
      <c r="B26" s="34" t="s">
        <v>985</v>
      </c>
      <c r="C26" s="18" t="s">
        <v>313</v>
      </c>
      <c r="D26" s="32" t="s">
        <v>1076</v>
      </c>
      <c r="E26" s="5">
        <f>'ПДФО ГРОМАДИ'!M26</f>
        <v>0</v>
      </c>
      <c r="F26" s="5">
        <f>'ПДФО ГРОМАДИ'!N26</f>
        <v>20217.099999999999</v>
      </c>
    </row>
    <row r="27" spans="1:6" ht="15.75" x14ac:dyDescent="0.25">
      <c r="A27" s="33" t="s">
        <v>748</v>
      </c>
      <c r="B27" s="34" t="s">
        <v>984</v>
      </c>
      <c r="C27" s="18" t="s">
        <v>314</v>
      </c>
      <c r="D27" s="32" t="s">
        <v>1077</v>
      </c>
      <c r="E27" s="66">
        <f>'ПДФО ГРОМАДИ'!M27</f>
        <v>0</v>
      </c>
      <c r="F27" s="66">
        <f>'ПДФО ГРОМАДИ'!N27</f>
        <v>5400</v>
      </c>
    </row>
    <row r="28" spans="1:6" ht="15.75" x14ac:dyDescent="0.25">
      <c r="A28" s="33" t="s">
        <v>748</v>
      </c>
      <c r="B28" s="34" t="s">
        <v>984</v>
      </c>
      <c r="C28" s="18" t="s">
        <v>315</v>
      </c>
      <c r="D28" s="32" t="s">
        <v>2793</v>
      </c>
      <c r="E28" s="5">
        <f>'ПДФО ГРОМАДИ'!M28</f>
        <v>0</v>
      </c>
      <c r="F28" s="5">
        <f>'ПДФО ГРОМАДИ'!N28</f>
        <v>0</v>
      </c>
    </row>
    <row r="29" spans="1:6" ht="15.75" x14ac:dyDescent="0.25">
      <c r="A29" s="33" t="s">
        <v>748</v>
      </c>
      <c r="B29" s="34" t="s">
        <v>984</v>
      </c>
      <c r="C29" s="18" t="s">
        <v>316</v>
      </c>
      <c r="D29" s="32" t="s">
        <v>1078</v>
      </c>
      <c r="E29" s="5">
        <f>'ПДФО ГРОМАДИ'!M29</f>
        <v>0</v>
      </c>
      <c r="F29" s="5">
        <f>'ПДФО ГРОМАДИ'!N29</f>
        <v>11434.7</v>
      </c>
    </row>
    <row r="30" spans="1:6" ht="15.75" x14ac:dyDescent="0.25">
      <c r="A30" s="33" t="s">
        <v>748</v>
      </c>
      <c r="B30" s="34" t="s">
        <v>984</v>
      </c>
      <c r="C30" s="18" t="s">
        <v>317</v>
      </c>
      <c r="D30" s="32" t="s">
        <v>1079</v>
      </c>
      <c r="E30" s="5">
        <f>'ПДФО ГРОМАДИ'!M30</f>
        <v>0</v>
      </c>
      <c r="F30" s="5">
        <f>'ПДФО ГРОМАДИ'!N30</f>
        <v>6136.1</v>
      </c>
    </row>
    <row r="31" spans="1:6" ht="15.75" x14ac:dyDescent="0.25">
      <c r="A31" s="33" t="s">
        <v>748</v>
      </c>
      <c r="B31" s="34" t="s">
        <v>984</v>
      </c>
      <c r="C31" s="18" t="s">
        <v>318</v>
      </c>
      <c r="D31" s="32" t="s">
        <v>1080</v>
      </c>
      <c r="E31" s="5">
        <f>'ПДФО ГРОМАДИ'!M31</f>
        <v>0</v>
      </c>
      <c r="F31" s="5">
        <f>'ПДФО ГРОМАДИ'!N31</f>
        <v>9941</v>
      </c>
    </row>
    <row r="32" spans="1:6" ht="15.75" x14ac:dyDescent="0.25">
      <c r="A32" s="33" t="s">
        <v>748</v>
      </c>
      <c r="B32" s="34" t="s">
        <v>984</v>
      </c>
      <c r="C32" s="18" t="s">
        <v>467</v>
      </c>
      <c r="D32" s="32" t="s">
        <v>1081</v>
      </c>
      <c r="E32" s="5">
        <f>'ПДФО ГРОМАДИ'!M32</f>
        <v>0</v>
      </c>
      <c r="F32" s="5">
        <f>'ПДФО ГРОМАДИ'!N32</f>
        <v>15306</v>
      </c>
    </row>
    <row r="33" spans="1:6" ht="15.75" x14ac:dyDescent="0.25">
      <c r="A33" s="33" t="s">
        <v>748</v>
      </c>
      <c r="B33" s="34" t="s">
        <v>984</v>
      </c>
      <c r="C33" s="18" t="s">
        <v>468</v>
      </c>
      <c r="D33" s="32" t="s">
        <v>1082</v>
      </c>
      <c r="E33" s="5">
        <f>'ПДФО ГРОМАДИ'!M33</f>
        <v>0</v>
      </c>
      <c r="F33" s="5">
        <f>'ПДФО ГРОМАДИ'!N33</f>
        <v>6073</v>
      </c>
    </row>
    <row r="34" spans="1:6" ht="15.75" x14ac:dyDescent="0.25">
      <c r="A34" s="33" t="s">
        <v>748</v>
      </c>
      <c r="B34" s="34" t="s">
        <v>984</v>
      </c>
      <c r="C34" s="18" t="s">
        <v>469</v>
      </c>
      <c r="D34" s="32" t="s">
        <v>1083</v>
      </c>
      <c r="E34" s="5">
        <f>'ПДФО ГРОМАДИ'!M34</f>
        <v>4323.2</v>
      </c>
      <c r="F34" s="5">
        <f>'ПДФО ГРОМАДИ'!N34</f>
        <v>0</v>
      </c>
    </row>
    <row r="35" spans="1:6" ht="15.75" x14ac:dyDescent="0.25">
      <c r="A35" s="33" t="s">
        <v>748</v>
      </c>
      <c r="B35" s="34" t="s">
        <v>984</v>
      </c>
      <c r="C35" s="18" t="s">
        <v>510</v>
      </c>
      <c r="D35" s="32" t="s">
        <v>1084</v>
      </c>
      <c r="E35" s="5">
        <f>'ПДФО ГРОМАДИ'!M35</f>
        <v>0</v>
      </c>
      <c r="F35" s="5">
        <f>'ПДФО ГРОМАДИ'!N35</f>
        <v>3486.7</v>
      </c>
    </row>
    <row r="36" spans="1:6" ht="15.75" x14ac:dyDescent="0.25">
      <c r="A36" s="33" t="s">
        <v>748</v>
      </c>
      <c r="B36" s="34" t="s">
        <v>985</v>
      </c>
      <c r="C36" s="18" t="s">
        <v>511</v>
      </c>
      <c r="D36" s="32" t="s">
        <v>1085</v>
      </c>
      <c r="E36" s="5">
        <f>'ПДФО ГРОМАДИ'!M36</f>
        <v>0</v>
      </c>
      <c r="F36" s="5">
        <f>'ПДФО ГРОМАДИ'!N36</f>
        <v>3375.2</v>
      </c>
    </row>
    <row r="37" spans="1:6" ht="15.75" x14ac:dyDescent="0.25">
      <c r="A37" s="33" t="s">
        <v>748</v>
      </c>
      <c r="B37" s="34" t="s">
        <v>985</v>
      </c>
      <c r="C37" s="18" t="s">
        <v>512</v>
      </c>
      <c r="D37" s="32" t="s">
        <v>1086</v>
      </c>
      <c r="E37" s="5">
        <f>'ПДФО ГРОМАДИ'!M37</f>
        <v>0</v>
      </c>
      <c r="F37" s="5">
        <f>'ПДФО ГРОМАДИ'!N37</f>
        <v>11412.6</v>
      </c>
    </row>
    <row r="38" spans="1:6" ht="15.75" x14ac:dyDescent="0.25">
      <c r="A38" s="33" t="s">
        <v>748</v>
      </c>
      <c r="B38" s="34" t="s">
        <v>984</v>
      </c>
      <c r="C38" s="18" t="s">
        <v>513</v>
      </c>
      <c r="D38" s="32" t="s">
        <v>1087</v>
      </c>
      <c r="E38" s="5">
        <f>'ПДФО ГРОМАДИ'!M38</f>
        <v>0</v>
      </c>
      <c r="F38" s="5">
        <f>'ПДФО ГРОМАДИ'!N38</f>
        <v>10072</v>
      </c>
    </row>
    <row r="39" spans="1:6" ht="15.75" x14ac:dyDescent="0.25">
      <c r="A39" s="33" t="s">
        <v>748</v>
      </c>
      <c r="B39" s="34" t="s">
        <v>984</v>
      </c>
      <c r="C39" s="18" t="s">
        <v>514</v>
      </c>
      <c r="D39" s="32" t="s">
        <v>1088</v>
      </c>
      <c r="E39" s="5">
        <f>'ПДФО ГРОМАДИ'!M39</f>
        <v>0</v>
      </c>
      <c r="F39" s="5">
        <f>'ПДФО ГРОМАДИ'!N39</f>
        <v>1874.2</v>
      </c>
    </row>
    <row r="40" spans="1:6" ht="15.75" x14ac:dyDescent="0.25">
      <c r="A40" s="33" t="s">
        <v>748</v>
      </c>
      <c r="B40" s="34" t="s">
        <v>983</v>
      </c>
      <c r="C40" s="18" t="s">
        <v>515</v>
      </c>
      <c r="D40" s="32" t="s">
        <v>1089</v>
      </c>
      <c r="E40" s="5">
        <f>'ПДФО ГРОМАДИ'!M40</f>
        <v>0</v>
      </c>
      <c r="F40" s="5">
        <f>'ПДФО ГРОМАДИ'!N40</f>
        <v>8024.5</v>
      </c>
    </row>
    <row r="41" spans="1:6" ht="15.75" x14ac:dyDescent="0.25">
      <c r="A41" s="33" t="s">
        <v>748</v>
      </c>
      <c r="B41" s="34" t="s">
        <v>985</v>
      </c>
      <c r="C41" s="18" t="s">
        <v>829</v>
      </c>
      <c r="D41" s="32" t="s">
        <v>1090</v>
      </c>
      <c r="E41" s="5">
        <f>'ПДФО ГРОМАДИ'!M41</f>
        <v>0</v>
      </c>
      <c r="F41" s="5">
        <f>'ПДФО ГРОМАДИ'!N41</f>
        <v>0</v>
      </c>
    </row>
    <row r="42" spans="1:6" ht="15.75" x14ac:dyDescent="0.25">
      <c r="A42" s="33" t="s">
        <v>748</v>
      </c>
      <c r="B42" s="34" t="s">
        <v>986</v>
      </c>
      <c r="C42" s="30" t="s">
        <v>971</v>
      </c>
      <c r="D42" s="32" t="s">
        <v>1091</v>
      </c>
      <c r="E42" s="5">
        <f>'ПДФО ГРОМАДИ'!M42</f>
        <v>258880</v>
      </c>
      <c r="F42" s="5">
        <f>'ПДФО ГРОМАДИ'!N42</f>
        <v>0</v>
      </c>
    </row>
    <row r="43" spans="1:6" ht="15.75" x14ac:dyDescent="0.25">
      <c r="A43" s="33" t="s">
        <v>748</v>
      </c>
      <c r="B43" s="34" t="s">
        <v>986</v>
      </c>
      <c r="C43" s="30" t="s">
        <v>972</v>
      </c>
      <c r="D43" s="32" t="s">
        <v>1092</v>
      </c>
      <c r="E43" s="5">
        <f>'ПДФО ГРОМАДИ'!M43</f>
        <v>0</v>
      </c>
      <c r="F43" s="5">
        <f>'ПДФО ГРОМАДИ'!N43</f>
        <v>24460.2</v>
      </c>
    </row>
    <row r="44" spans="1:6" ht="15.75" x14ac:dyDescent="0.25">
      <c r="A44" s="33" t="s">
        <v>748</v>
      </c>
      <c r="B44" s="34" t="s">
        <v>985</v>
      </c>
      <c r="C44" s="30" t="s">
        <v>987</v>
      </c>
      <c r="D44" s="32" t="s">
        <v>1093</v>
      </c>
      <c r="E44" s="5">
        <f>'ПДФО ГРОМАДИ'!M44</f>
        <v>0</v>
      </c>
      <c r="F44" s="5">
        <f>'ПДФО ГРОМАДИ'!N44</f>
        <v>5585.9</v>
      </c>
    </row>
    <row r="45" spans="1:6" ht="15.75" x14ac:dyDescent="0.25">
      <c r="A45" s="33" t="s">
        <v>748</v>
      </c>
      <c r="B45" s="34" t="s">
        <v>984</v>
      </c>
      <c r="C45" s="30" t="s">
        <v>992</v>
      </c>
      <c r="D45" s="32" t="s">
        <v>1094</v>
      </c>
      <c r="E45" s="5">
        <f>'ПДФО ГРОМАДИ'!M45</f>
        <v>0</v>
      </c>
      <c r="F45" s="5">
        <f>'ПДФО ГРОМАДИ'!N45</f>
        <v>9118</v>
      </c>
    </row>
    <row r="46" spans="1:6" ht="15.75" x14ac:dyDescent="0.25">
      <c r="A46" s="33" t="s">
        <v>748</v>
      </c>
      <c r="B46" s="34" t="s">
        <v>985</v>
      </c>
      <c r="C46" s="30" t="s">
        <v>1019</v>
      </c>
      <c r="D46" s="32" t="s">
        <v>1095</v>
      </c>
      <c r="E46" s="5">
        <f>'ПДФО ГРОМАДИ'!M46</f>
        <v>0</v>
      </c>
      <c r="F46" s="5">
        <f>'ПДФО ГРОМАДИ'!N46</f>
        <v>4933.5</v>
      </c>
    </row>
    <row r="47" spans="1:6" ht="15.75" x14ac:dyDescent="0.25">
      <c r="A47" s="33" t="s">
        <v>748</v>
      </c>
      <c r="B47" s="34" t="s">
        <v>986</v>
      </c>
      <c r="C47" s="30" t="s">
        <v>1020</v>
      </c>
      <c r="D47" s="32" t="s">
        <v>1096</v>
      </c>
      <c r="E47" s="5">
        <f>'ПДФО ГРОМАДИ'!M47</f>
        <v>6549.5</v>
      </c>
      <c r="F47" s="5">
        <f>'ПДФО ГРОМАДИ'!N47</f>
        <v>0</v>
      </c>
    </row>
    <row r="48" spans="1:6" ht="15.75" x14ac:dyDescent="0.25">
      <c r="A48" s="33" t="s">
        <v>748</v>
      </c>
      <c r="B48" s="34" t="s">
        <v>985</v>
      </c>
      <c r="C48" s="30" t="s">
        <v>1026</v>
      </c>
      <c r="D48" s="32" t="s">
        <v>1097</v>
      </c>
      <c r="E48" s="5">
        <f>'ПДФО ГРОМАДИ'!M48</f>
        <v>0</v>
      </c>
      <c r="F48" s="5">
        <f>'ПДФО ГРОМАДИ'!N48</f>
        <v>10875.8</v>
      </c>
    </row>
    <row r="49" spans="1:6" ht="15.75" x14ac:dyDescent="0.25">
      <c r="A49" s="33" t="s">
        <v>748</v>
      </c>
      <c r="B49" s="34" t="s">
        <v>984</v>
      </c>
      <c r="C49" s="30" t="s">
        <v>1054</v>
      </c>
      <c r="D49" s="32" t="s">
        <v>1098</v>
      </c>
      <c r="E49" s="5">
        <f>'ПДФО ГРОМАДИ'!M49</f>
        <v>0</v>
      </c>
      <c r="F49" s="5">
        <f>'ПДФО ГРОМАДИ'!N49</f>
        <v>5422</v>
      </c>
    </row>
    <row r="50" spans="1:6" ht="15.75" x14ac:dyDescent="0.25">
      <c r="A50" s="33" t="s">
        <v>748</v>
      </c>
      <c r="B50" s="34" t="s">
        <v>984</v>
      </c>
      <c r="C50" s="30" t="s">
        <v>1099</v>
      </c>
      <c r="D50" s="32" t="s">
        <v>1100</v>
      </c>
      <c r="E50" s="5">
        <f>'ПДФО ГРОМАДИ'!M50</f>
        <v>0</v>
      </c>
      <c r="F50" s="5">
        <f>'ПДФО ГРОМАДИ'!N50</f>
        <v>6021</v>
      </c>
    </row>
    <row r="51" spans="1:6" ht="15.75" x14ac:dyDescent="0.25">
      <c r="A51" s="33" t="s">
        <v>748</v>
      </c>
      <c r="B51" s="34" t="s">
        <v>983</v>
      </c>
      <c r="C51" s="30" t="s">
        <v>1101</v>
      </c>
      <c r="D51" s="32" t="s">
        <v>1102</v>
      </c>
      <c r="E51" s="5">
        <f>'ПДФО ГРОМАДИ'!M51</f>
        <v>0</v>
      </c>
      <c r="F51" s="5">
        <f>'ПДФО ГРОМАДИ'!N51</f>
        <v>34160.5</v>
      </c>
    </row>
    <row r="52" spans="1:6" ht="15.75" x14ac:dyDescent="0.25">
      <c r="A52" s="33" t="s">
        <v>748</v>
      </c>
      <c r="B52" s="34" t="s">
        <v>985</v>
      </c>
      <c r="C52" s="30" t="s">
        <v>1103</v>
      </c>
      <c r="D52" s="32" t="s">
        <v>1104</v>
      </c>
      <c r="E52" s="5">
        <f>'ПДФО ГРОМАДИ'!M52</f>
        <v>0</v>
      </c>
      <c r="F52" s="5">
        <f>'ПДФО ГРОМАДИ'!N52</f>
        <v>16093.6</v>
      </c>
    </row>
    <row r="53" spans="1:6" ht="15.75" x14ac:dyDescent="0.25">
      <c r="A53" s="33" t="s">
        <v>748</v>
      </c>
      <c r="B53" s="34" t="s">
        <v>983</v>
      </c>
      <c r="C53" s="30" t="s">
        <v>1105</v>
      </c>
      <c r="D53" s="32" t="s">
        <v>1106</v>
      </c>
      <c r="E53" s="5">
        <f>'ПДФО ГРОМАДИ'!M53</f>
        <v>0</v>
      </c>
      <c r="F53" s="5">
        <f>'ПДФО ГРОМАДИ'!N53</f>
        <v>6694.8</v>
      </c>
    </row>
    <row r="54" spans="1:6" ht="15.75" x14ac:dyDescent="0.25">
      <c r="A54" s="33" t="s">
        <v>748</v>
      </c>
      <c r="B54" s="34" t="s">
        <v>984</v>
      </c>
      <c r="C54" s="30" t="s">
        <v>1107</v>
      </c>
      <c r="D54" s="32" t="s">
        <v>1108</v>
      </c>
      <c r="E54" s="5">
        <f>'ПДФО ГРОМАДИ'!M54</f>
        <v>0</v>
      </c>
      <c r="F54" s="5">
        <f>'ПДФО ГРОМАДИ'!N54</f>
        <v>3793.7</v>
      </c>
    </row>
    <row r="55" spans="1:6" ht="15.75" x14ac:dyDescent="0.25">
      <c r="A55" s="33" t="s">
        <v>748</v>
      </c>
      <c r="B55" s="34" t="s">
        <v>984</v>
      </c>
      <c r="C55" s="30" t="s">
        <v>1109</v>
      </c>
      <c r="D55" s="32" t="s">
        <v>1110</v>
      </c>
      <c r="E55" s="5">
        <f>'ПДФО ГРОМАДИ'!M55</f>
        <v>0</v>
      </c>
      <c r="F55" s="5">
        <f>'ПДФО ГРОМАДИ'!N55</f>
        <v>20708.900000000001</v>
      </c>
    </row>
    <row r="56" spans="1:6" ht="15.75" x14ac:dyDescent="0.25">
      <c r="A56" s="33" t="s">
        <v>748</v>
      </c>
      <c r="B56" s="34" t="s">
        <v>986</v>
      </c>
      <c r="C56" s="30" t="s">
        <v>1111</v>
      </c>
      <c r="D56" s="32" t="s">
        <v>1112</v>
      </c>
      <c r="E56" s="5">
        <f>'ПДФО ГРОМАДИ'!M56</f>
        <v>22845.4</v>
      </c>
      <c r="F56" s="5">
        <f>'ПДФО ГРОМАДИ'!N56</f>
        <v>0</v>
      </c>
    </row>
    <row r="57" spans="1:6" ht="15.75" x14ac:dyDescent="0.25">
      <c r="A57" s="33" t="s">
        <v>748</v>
      </c>
      <c r="B57" s="34" t="s">
        <v>985</v>
      </c>
      <c r="C57" s="30" t="s">
        <v>1113</v>
      </c>
      <c r="D57" s="32" t="s">
        <v>1114</v>
      </c>
      <c r="E57" s="5">
        <f>'ПДФО ГРОМАДИ'!M57</f>
        <v>0</v>
      </c>
      <c r="F57" s="5">
        <f>'ПДФО ГРОМАДИ'!N57</f>
        <v>11048.7</v>
      </c>
    </row>
    <row r="58" spans="1:6" ht="15.75" x14ac:dyDescent="0.25">
      <c r="A58" s="33" t="s">
        <v>748</v>
      </c>
      <c r="B58" s="34" t="s">
        <v>985</v>
      </c>
      <c r="C58" s="30" t="s">
        <v>1115</v>
      </c>
      <c r="D58" s="32" t="s">
        <v>1116</v>
      </c>
      <c r="E58" s="5">
        <f>'ПДФО ГРОМАДИ'!M58</f>
        <v>0</v>
      </c>
      <c r="F58" s="5">
        <f>'ПДФО ГРОМАДИ'!N58</f>
        <v>0</v>
      </c>
    </row>
    <row r="59" spans="1:6" ht="15.75" x14ac:dyDescent="0.25">
      <c r="A59" s="33" t="s">
        <v>748</v>
      </c>
      <c r="B59" s="34" t="s">
        <v>986</v>
      </c>
      <c r="C59" s="30" t="s">
        <v>1117</v>
      </c>
      <c r="D59" s="32" t="s">
        <v>1118</v>
      </c>
      <c r="E59" s="5">
        <f>'ПДФО ГРОМАДИ'!M59</f>
        <v>50218.400000000001</v>
      </c>
      <c r="F59" s="5">
        <f>'ПДФО ГРОМАДИ'!N59</f>
        <v>0</v>
      </c>
    </row>
    <row r="60" spans="1:6" ht="15.75" x14ac:dyDescent="0.25">
      <c r="A60" s="33" t="s">
        <v>748</v>
      </c>
      <c r="B60" s="34" t="s">
        <v>983</v>
      </c>
      <c r="C60" s="30" t="s">
        <v>1119</v>
      </c>
      <c r="D60" s="32" t="s">
        <v>1120</v>
      </c>
      <c r="E60" s="5">
        <f>'ПДФО ГРОМАДИ'!M60</f>
        <v>0</v>
      </c>
      <c r="F60" s="5">
        <f>'ПДФО ГРОМАДИ'!N60</f>
        <v>2420.5</v>
      </c>
    </row>
    <row r="61" spans="1:6" ht="15.75" x14ac:dyDescent="0.25">
      <c r="A61" s="33" t="s">
        <v>748</v>
      </c>
      <c r="B61" s="34" t="s">
        <v>986</v>
      </c>
      <c r="C61" s="30" t="s">
        <v>1121</v>
      </c>
      <c r="D61" s="32" t="s">
        <v>1122</v>
      </c>
      <c r="E61" s="5">
        <f>'ПДФО ГРОМАДИ'!M61</f>
        <v>0</v>
      </c>
      <c r="F61" s="5">
        <f>'ПДФО ГРОМАДИ'!N61</f>
        <v>22836.400000000001</v>
      </c>
    </row>
    <row r="62" spans="1:6" ht="15.75" x14ac:dyDescent="0.25">
      <c r="A62" s="33" t="s">
        <v>748</v>
      </c>
      <c r="B62" s="34" t="s">
        <v>985</v>
      </c>
      <c r="C62" s="30" t="s">
        <v>1123</v>
      </c>
      <c r="D62" s="32" t="s">
        <v>1124</v>
      </c>
      <c r="E62" s="5">
        <f>'ПДФО ГРОМАДИ'!M62</f>
        <v>0</v>
      </c>
      <c r="F62" s="5">
        <f>'ПДФО ГРОМАДИ'!N62</f>
        <v>17514.7</v>
      </c>
    </row>
    <row r="63" spans="1:6" ht="15.75" x14ac:dyDescent="0.25">
      <c r="A63" s="33" t="s">
        <v>748</v>
      </c>
      <c r="B63" s="34" t="s">
        <v>984</v>
      </c>
      <c r="C63" s="30" t="s">
        <v>1125</v>
      </c>
      <c r="D63" s="32" t="s">
        <v>1126</v>
      </c>
      <c r="E63" s="5">
        <f>'ПДФО ГРОМАДИ'!M63</f>
        <v>0</v>
      </c>
      <c r="F63" s="5">
        <f>'ПДФО ГРОМАДИ'!N63</f>
        <v>13052</v>
      </c>
    </row>
    <row r="64" spans="1:6" ht="15.75" x14ac:dyDescent="0.25">
      <c r="A64" s="33" t="s">
        <v>748</v>
      </c>
      <c r="B64" s="34" t="s">
        <v>984</v>
      </c>
      <c r="C64" s="30" t="s">
        <v>1127</v>
      </c>
      <c r="D64" s="32" t="s">
        <v>1128</v>
      </c>
      <c r="E64" s="5">
        <f>'ПДФО ГРОМАДИ'!M64</f>
        <v>0</v>
      </c>
      <c r="F64" s="5">
        <f>'ПДФО ГРОМАДИ'!N64</f>
        <v>7641.9</v>
      </c>
    </row>
    <row r="65" spans="1:6" ht="15.75" x14ac:dyDescent="0.25">
      <c r="A65" s="33" t="s">
        <v>748</v>
      </c>
      <c r="B65" s="34" t="s">
        <v>985</v>
      </c>
      <c r="C65" s="30" t="s">
        <v>1129</v>
      </c>
      <c r="D65" s="32" t="s">
        <v>1130</v>
      </c>
      <c r="E65" s="5">
        <f>'ПДФО ГРОМАДИ'!M65</f>
        <v>0</v>
      </c>
      <c r="F65" s="5">
        <f>'ПДФО ГРОМАДИ'!N65</f>
        <v>0</v>
      </c>
    </row>
    <row r="66" spans="1:6" ht="15.75" x14ac:dyDescent="0.25">
      <c r="A66" s="33" t="s">
        <v>748</v>
      </c>
      <c r="B66" s="34" t="s">
        <v>983</v>
      </c>
      <c r="C66" s="30" t="s">
        <v>1131</v>
      </c>
      <c r="D66" s="32" t="s">
        <v>1132</v>
      </c>
      <c r="E66" s="5">
        <f>'ПДФО ГРОМАДИ'!M66</f>
        <v>0</v>
      </c>
      <c r="F66" s="5">
        <f>'ПДФО ГРОМАДИ'!N66</f>
        <v>11549.7</v>
      </c>
    </row>
    <row r="67" spans="1:6" ht="15.75" x14ac:dyDescent="0.25">
      <c r="A67" s="33" t="s">
        <v>748</v>
      </c>
      <c r="B67" s="34" t="s">
        <v>984</v>
      </c>
      <c r="C67" s="30" t="s">
        <v>1133</v>
      </c>
      <c r="D67" s="32" t="s">
        <v>1134</v>
      </c>
      <c r="E67" s="5">
        <f>'ПДФО ГРОМАДИ'!M67</f>
        <v>0</v>
      </c>
      <c r="F67" s="5">
        <f>'ПДФО ГРОМАДИ'!N67</f>
        <v>0</v>
      </c>
    </row>
    <row r="68" spans="1:6" ht="15.75" x14ac:dyDescent="0.25">
      <c r="A68" s="33" t="s">
        <v>748</v>
      </c>
      <c r="B68" s="34" t="s">
        <v>984</v>
      </c>
      <c r="C68" s="30" t="s">
        <v>1136</v>
      </c>
      <c r="D68" s="32" t="s">
        <v>1135</v>
      </c>
      <c r="E68" s="5">
        <f>'ПДФО ГРОМАДИ'!M68</f>
        <v>0</v>
      </c>
      <c r="F68" s="5">
        <f>'ПДФО ГРОМАДИ'!N68</f>
        <v>6807.8</v>
      </c>
    </row>
    <row r="69" spans="1:6" ht="15.75" x14ac:dyDescent="0.25">
      <c r="A69" s="33" t="s">
        <v>748</v>
      </c>
      <c r="B69" s="34" t="s">
        <v>985</v>
      </c>
      <c r="C69" s="30" t="s">
        <v>1138</v>
      </c>
      <c r="D69" s="32" t="s">
        <v>1137</v>
      </c>
      <c r="E69" s="5">
        <f>'ПДФО ГРОМАДИ'!M69</f>
        <v>0</v>
      </c>
      <c r="F69" s="5">
        <f>'ПДФО ГРОМАДИ'!N69</f>
        <v>15742.3</v>
      </c>
    </row>
    <row r="70" spans="1:6" ht="15.75" x14ac:dyDescent="0.25">
      <c r="A70" s="33" t="s">
        <v>748</v>
      </c>
      <c r="B70" s="34" t="s">
        <v>985</v>
      </c>
      <c r="C70" s="30" t="s">
        <v>1140</v>
      </c>
      <c r="D70" s="32" t="s">
        <v>1139</v>
      </c>
      <c r="E70" s="5">
        <f>'ПДФО ГРОМАДИ'!M70</f>
        <v>289</v>
      </c>
      <c r="F70" s="5">
        <f>'ПДФО ГРОМАДИ'!N70</f>
        <v>0</v>
      </c>
    </row>
    <row r="71" spans="1:6" ht="15.75" x14ac:dyDescent="0.25">
      <c r="A71" s="33" t="s">
        <v>748</v>
      </c>
      <c r="B71" s="34" t="s">
        <v>985</v>
      </c>
      <c r="C71" s="30" t="s">
        <v>1142</v>
      </c>
      <c r="D71" s="32" t="s">
        <v>1141</v>
      </c>
      <c r="E71" s="5">
        <f>'ПДФО ГРОМАДИ'!M71</f>
        <v>0</v>
      </c>
      <c r="F71" s="5">
        <f>'ПДФО ГРОМАДИ'!N71</f>
        <v>17368.7</v>
      </c>
    </row>
    <row r="72" spans="1:6" ht="15.75" x14ac:dyDescent="0.25">
      <c r="A72" s="33" t="s">
        <v>748</v>
      </c>
      <c r="B72" s="34" t="s">
        <v>984</v>
      </c>
      <c r="C72" s="30" t="s">
        <v>1144</v>
      </c>
      <c r="D72" s="32" t="s">
        <v>1143</v>
      </c>
      <c r="E72" s="5">
        <f>'ПДФО ГРОМАДИ'!M72</f>
        <v>0</v>
      </c>
      <c r="F72" s="5">
        <f>'ПДФО ГРОМАДИ'!N72</f>
        <v>11573.2</v>
      </c>
    </row>
    <row r="73" spans="1:6" ht="15.75" x14ac:dyDescent="0.25">
      <c r="A73" s="33" t="s">
        <v>748</v>
      </c>
      <c r="B73" s="34" t="s">
        <v>985</v>
      </c>
      <c r="C73" s="30" t="s">
        <v>1146</v>
      </c>
      <c r="D73" s="32" t="s">
        <v>1145</v>
      </c>
      <c r="E73" s="5">
        <f>'ПДФО ГРОМАДИ'!M73</f>
        <v>0</v>
      </c>
      <c r="F73" s="5">
        <f>'ПДФО ГРОМАДИ'!N73</f>
        <v>13689.3</v>
      </c>
    </row>
    <row r="74" spans="1:6" ht="15.75" x14ac:dyDescent="0.25">
      <c r="A74" s="33" t="s">
        <v>748</v>
      </c>
      <c r="B74" s="34" t="s">
        <v>985</v>
      </c>
      <c r="C74" s="30" t="s">
        <v>1147</v>
      </c>
      <c r="D74" s="32" t="s">
        <v>2824</v>
      </c>
      <c r="E74" s="5">
        <f>'ПДФО ГРОМАДИ'!M74</f>
        <v>0</v>
      </c>
      <c r="F74" s="5">
        <f>'ПДФО ГРОМАДИ'!N74</f>
        <v>10103.6</v>
      </c>
    </row>
    <row r="75" spans="1:6" ht="15.75" x14ac:dyDescent="0.25">
      <c r="A75" s="33" t="s">
        <v>748</v>
      </c>
      <c r="B75" s="34" t="s">
        <v>983</v>
      </c>
      <c r="C75" s="30" t="s">
        <v>1149</v>
      </c>
      <c r="D75" s="32" t="s">
        <v>1148</v>
      </c>
      <c r="E75" s="5">
        <f>'ПДФО ГРОМАДИ'!M75</f>
        <v>0</v>
      </c>
      <c r="F75" s="5">
        <f>'ПДФО ГРОМАДИ'!N75</f>
        <v>17020.900000000001</v>
      </c>
    </row>
    <row r="76" spans="1:6" ht="15.75" x14ac:dyDescent="0.25">
      <c r="A76" s="33" t="s">
        <v>748</v>
      </c>
      <c r="B76" s="34" t="s">
        <v>983</v>
      </c>
      <c r="C76" s="30" t="s">
        <v>1151</v>
      </c>
      <c r="D76" s="32" t="s">
        <v>1150</v>
      </c>
      <c r="E76" s="66">
        <f>'ПДФО ГРОМАДИ'!M76</f>
        <v>0</v>
      </c>
      <c r="F76" s="66">
        <f>'ПДФО ГРОМАДИ'!N76</f>
        <v>23441.599999999999</v>
      </c>
    </row>
    <row r="77" spans="1:6" ht="15.75" x14ac:dyDescent="0.25">
      <c r="A77" s="33" t="s">
        <v>748</v>
      </c>
      <c r="B77" s="34" t="s">
        <v>984</v>
      </c>
      <c r="C77" s="30" t="s">
        <v>2767</v>
      </c>
      <c r="D77" s="32" t="s">
        <v>1152</v>
      </c>
      <c r="E77" s="5">
        <f>'ПДФО ГРОМАДИ'!M77</f>
        <v>0</v>
      </c>
      <c r="F77" s="5">
        <f>'ПДФО ГРОМАДИ'!N77</f>
        <v>4409.2</v>
      </c>
    </row>
    <row r="78" spans="1:6" ht="15.75" x14ac:dyDescent="0.25">
      <c r="A78" s="17" t="s">
        <v>752</v>
      </c>
      <c r="B78" s="17" t="s">
        <v>7</v>
      </c>
      <c r="C78" s="17" t="s">
        <v>753</v>
      </c>
      <c r="D78" s="11" t="s">
        <v>9</v>
      </c>
      <c r="E78" s="11">
        <f>E79+E80+E85</f>
        <v>171232.9</v>
      </c>
      <c r="F78" s="11">
        <f>F79+F80+F85</f>
        <v>867449.99999999988</v>
      </c>
    </row>
    <row r="79" spans="1:6" ht="15.75" x14ac:dyDescent="0.25">
      <c r="A79" s="33" t="s">
        <v>752</v>
      </c>
      <c r="B79" s="34" t="s">
        <v>6</v>
      </c>
      <c r="C79" s="18" t="s">
        <v>35</v>
      </c>
      <c r="D79" s="32" t="s">
        <v>838</v>
      </c>
      <c r="E79" s="5">
        <f>'ПДФО ОБЛАСНІ'!K5+'ПОДАТОК НА ПРИБУТОК'!K5</f>
        <v>0</v>
      </c>
      <c r="F79" s="5">
        <f>'ПДФО ОБЛАСНІ'!L5+'ПОДАТОК НА ПРИБУТОК'!L5</f>
        <v>112641.40000000001</v>
      </c>
    </row>
    <row r="80" spans="1:6" ht="15.75" x14ac:dyDescent="0.25">
      <c r="A80" s="19" t="s">
        <v>752</v>
      </c>
      <c r="B80" s="19" t="s">
        <v>5</v>
      </c>
      <c r="C80" s="19" t="s">
        <v>754</v>
      </c>
      <c r="D80" s="7" t="s">
        <v>2794</v>
      </c>
      <c r="E80" s="7">
        <f>SUM(E81:E84)</f>
        <v>0</v>
      </c>
      <c r="F80" s="7">
        <f>SUM(F81:F84)</f>
        <v>0</v>
      </c>
    </row>
    <row r="81" spans="1:6" ht="15.75" x14ac:dyDescent="0.25">
      <c r="A81" s="33" t="s">
        <v>752</v>
      </c>
      <c r="B81" s="34" t="s">
        <v>4</v>
      </c>
      <c r="C81" s="18" t="s">
        <v>1153</v>
      </c>
      <c r="D81" s="32" t="s">
        <v>1154</v>
      </c>
      <c r="E81" s="5">
        <f>'ПДФО ГРОМАДИ'!M81</f>
        <v>0</v>
      </c>
      <c r="F81" s="5">
        <f>'ПДФО ГРОМАДИ'!N81</f>
        <v>0</v>
      </c>
    </row>
    <row r="82" spans="1:6" ht="15.75" x14ac:dyDescent="0.25">
      <c r="A82" s="33" t="s">
        <v>752</v>
      </c>
      <c r="B82" s="34" t="s">
        <v>4</v>
      </c>
      <c r="C82" s="18" t="s">
        <v>36</v>
      </c>
      <c r="D82" s="32" t="s">
        <v>888</v>
      </c>
      <c r="E82" s="5">
        <f>'ПДФО ГРОМАДИ'!M82</f>
        <v>0</v>
      </c>
      <c r="F82" s="5">
        <f>'ПДФО ГРОМАДИ'!N82</f>
        <v>0</v>
      </c>
    </row>
    <row r="83" spans="1:6" ht="15.75" x14ac:dyDescent="0.25">
      <c r="A83" s="33" t="s">
        <v>752</v>
      </c>
      <c r="B83" s="34" t="s">
        <v>4</v>
      </c>
      <c r="C83" s="18" t="s">
        <v>37</v>
      </c>
      <c r="D83" s="32" t="s">
        <v>889</v>
      </c>
      <c r="E83" s="5">
        <f>'ПДФО ГРОМАДИ'!M83</f>
        <v>0</v>
      </c>
      <c r="F83" s="5">
        <f>'ПДФО ГРОМАДИ'!N83</f>
        <v>0</v>
      </c>
    </row>
    <row r="84" spans="1:6" ht="15.75" x14ac:dyDescent="0.25">
      <c r="A84" s="33" t="s">
        <v>752</v>
      </c>
      <c r="B84" s="34" t="s">
        <v>4</v>
      </c>
      <c r="C84" s="18" t="s">
        <v>38</v>
      </c>
      <c r="D84" s="32" t="s">
        <v>890</v>
      </c>
      <c r="E84" s="5">
        <f>'ПДФО ГРОМАДИ'!M84</f>
        <v>0</v>
      </c>
      <c r="F84" s="5">
        <f>'ПДФО ГРОМАДИ'!N84</f>
        <v>0</v>
      </c>
    </row>
    <row r="85" spans="1:6" ht="15.75" x14ac:dyDescent="0.25">
      <c r="A85" s="19" t="s">
        <v>752</v>
      </c>
      <c r="B85" s="19" t="s">
        <v>28</v>
      </c>
      <c r="C85" s="19" t="s">
        <v>755</v>
      </c>
      <c r="D85" s="20" t="s">
        <v>2769</v>
      </c>
      <c r="E85" s="7">
        <f>SUM(E86:E139)</f>
        <v>171232.9</v>
      </c>
      <c r="F85" s="7">
        <f>SUM(F86:F139)</f>
        <v>754808.59999999986</v>
      </c>
    </row>
    <row r="86" spans="1:6" ht="15.75" x14ac:dyDescent="0.25">
      <c r="A86" s="33" t="s">
        <v>752</v>
      </c>
      <c r="B86" s="34" t="s">
        <v>984</v>
      </c>
      <c r="C86" s="18" t="s">
        <v>39</v>
      </c>
      <c r="D86" s="32" t="s">
        <v>1155</v>
      </c>
      <c r="E86" s="5">
        <f>'ПДФО ГРОМАДИ'!M86</f>
        <v>0</v>
      </c>
      <c r="F86" s="5">
        <f>'ПДФО ГРОМАДИ'!N86</f>
        <v>6739.4</v>
      </c>
    </row>
    <row r="87" spans="1:6" ht="15.75" x14ac:dyDescent="0.25">
      <c r="A87" s="33" t="s">
        <v>752</v>
      </c>
      <c r="B87" s="34" t="s">
        <v>985</v>
      </c>
      <c r="C87" s="18" t="s">
        <v>40</v>
      </c>
      <c r="D87" s="32" t="s">
        <v>1156</v>
      </c>
      <c r="E87" s="5">
        <f>'ПДФО ГРОМАДИ'!M87</f>
        <v>0</v>
      </c>
      <c r="F87" s="5">
        <f>'ПДФО ГРОМАДИ'!N87</f>
        <v>11558</v>
      </c>
    </row>
    <row r="88" spans="1:6" ht="15.75" x14ac:dyDescent="0.25">
      <c r="A88" s="33" t="s">
        <v>752</v>
      </c>
      <c r="B88" s="34" t="s">
        <v>984</v>
      </c>
      <c r="C88" s="18" t="s">
        <v>41</v>
      </c>
      <c r="D88" s="32" t="s">
        <v>1157</v>
      </c>
      <c r="E88" s="5">
        <f>'ПДФО ГРОМАДИ'!M88</f>
        <v>0</v>
      </c>
      <c r="F88" s="5">
        <f>'ПДФО ГРОМАДИ'!N88</f>
        <v>11851.3</v>
      </c>
    </row>
    <row r="89" spans="1:6" ht="15.75" x14ac:dyDescent="0.25">
      <c r="A89" s="33" t="s">
        <v>752</v>
      </c>
      <c r="B89" s="34" t="s">
        <v>983</v>
      </c>
      <c r="C89" s="18" t="s">
        <v>42</v>
      </c>
      <c r="D89" s="32" t="s">
        <v>1158</v>
      </c>
      <c r="E89" s="5">
        <f>'ПДФО ГРОМАДИ'!M89</f>
        <v>0</v>
      </c>
      <c r="F89" s="5">
        <f>'ПДФО ГРОМАДИ'!N89</f>
        <v>373.3</v>
      </c>
    </row>
    <row r="90" spans="1:6" ht="15.75" x14ac:dyDescent="0.25">
      <c r="A90" s="33" t="s">
        <v>752</v>
      </c>
      <c r="B90" s="34" t="s">
        <v>985</v>
      </c>
      <c r="C90" s="18" t="s">
        <v>281</v>
      </c>
      <c r="D90" s="32" t="s">
        <v>1159</v>
      </c>
      <c r="E90" s="5">
        <f>'ПДФО ГРОМАДИ'!M90</f>
        <v>0</v>
      </c>
      <c r="F90" s="5">
        <f>'ПДФО ГРОМАДИ'!N90</f>
        <v>8778.2000000000007</v>
      </c>
    </row>
    <row r="91" spans="1:6" ht="15.75" x14ac:dyDescent="0.25">
      <c r="A91" s="33" t="s">
        <v>752</v>
      </c>
      <c r="B91" s="34" t="s">
        <v>985</v>
      </c>
      <c r="C91" s="18" t="s">
        <v>292</v>
      </c>
      <c r="D91" s="32" t="s">
        <v>1160</v>
      </c>
      <c r="E91" s="5">
        <f>'ПДФО ГРОМАДИ'!M91</f>
        <v>0</v>
      </c>
      <c r="F91" s="5">
        <f>'ПДФО ГРОМАДИ'!N91</f>
        <v>15755.6</v>
      </c>
    </row>
    <row r="92" spans="1:6" ht="15.75" x14ac:dyDescent="0.25">
      <c r="A92" s="33" t="s">
        <v>752</v>
      </c>
      <c r="B92" s="34" t="s">
        <v>985</v>
      </c>
      <c r="C92" s="18" t="s">
        <v>319</v>
      </c>
      <c r="D92" s="32" t="s">
        <v>1161</v>
      </c>
      <c r="E92" s="5">
        <f>'ПДФО ГРОМАДИ'!M92</f>
        <v>0</v>
      </c>
      <c r="F92" s="5">
        <f>'ПДФО ГРОМАДИ'!N92</f>
        <v>16698.099999999999</v>
      </c>
    </row>
    <row r="93" spans="1:6" ht="15.75" x14ac:dyDescent="0.25">
      <c r="A93" s="33" t="s">
        <v>752</v>
      </c>
      <c r="B93" s="34" t="s">
        <v>984</v>
      </c>
      <c r="C93" s="18" t="s">
        <v>320</v>
      </c>
      <c r="D93" s="32" t="s">
        <v>1162</v>
      </c>
      <c r="E93" s="5">
        <f>'ПДФО ГРОМАДИ'!M93</f>
        <v>0</v>
      </c>
      <c r="F93" s="5">
        <f>'ПДФО ГРОМАДИ'!N93</f>
        <v>5715.5</v>
      </c>
    </row>
    <row r="94" spans="1:6" ht="15.75" x14ac:dyDescent="0.25">
      <c r="A94" s="33" t="s">
        <v>752</v>
      </c>
      <c r="B94" s="34" t="s">
        <v>984</v>
      </c>
      <c r="C94" s="18" t="s">
        <v>321</v>
      </c>
      <c r="D94" s="32" t="s">
        <v>1163</v>
      </c>
      <c r="E94" s="5">
        <f>'ПДФО ГРОМАДИ'!M94</f>
        <v>0</v>
      </c>
      <c r="F94" s="5">
        <f>'ПДФО ГРОМАДИ'!N94</f>
        <v>637.70000000000005</v>
      </c>
    </row>
    <row r="95" spans="1:6" ht="15.75" x14ac:dyDescent="0.25">
      <c r="A95" s="33" t="s">
        <v>752</v>
      </c>
      <c r="B95" s="34" t="s">
        <v>984</v>
      </c>
      <c r="C95" s="18" t="s">
        <v>322</v>
      </c>
      <c r="D95" s="32" t="s">
        <v>1164</v>
      </c>
      <c r="E95" s="5">
        <f>'ПДФО ГРОМАДИ'!M95</f>
        <v>0</v>
      </c>
      <c r="F95" s="5">
        <f>'ПДФО ГРОМАДИ'!N95</f>
        <v>12707</v>
      </c>
    </row>
    <row r="96" spans="1:6" ht="15.75" x14ac:dyDescent="0.25">
      <c r="A96" s="33" t="s">
        <v>752</v>
      </c>
      <c r="B96" s="34" t="s">
        <v>984</v>
      </c>
      <c r="C96" s="18" t="s">
        <v>323</v>
      </c>
      <c r="D96" s="32" t="s">
        <v>1165</v>
      </c>
      <c r="E96" s="5">
        <f>'ПДФО ГРОМАДИ'!M96</f>
        <v>0</v>
      </c>
      <c r="F96" s="5">
        <f>'ПДФО ГРОМАДИ'!N96</f>
        <v>6804.9</v>
      </c>
    </row>
    <row r="97" spans="1:6" ht="15.75" x14ac:dyDescent="0.25">
      <c r="A97" s="33" t="s">
        <v>752</v>
      </c>
      <c r="B97" s="34" t="s">
        <v>984</v>
      </c>
      <c r="C97" s="18" t="s">
        <v>324</v>
      </c>
      <c r="D97" s="32" t="s">
        <v>1166</v>
      </c>
      <c r="E97" s="5">
        <f>'ПДФО ГРОМАДИ'!M97</f>
        <v>0</v>
      </c>
      <c r="F97" s="5">
        <f>'ПДФО ГРОМАДИ'!N97</f>
        <v>0</v>
      </c>
    </row>
    <row r="98" spans="1:6" ht="15.75" x14ac:dyDescent="0.25">
      <c r="A98" s="33" t="s">
        <v>752</v>
      </c>
      <c r="B98" s="34" t="s">
        <v>984</v>
      </c>
      <c r="C98" s="18" t="s">
        <v>325</v>
      </c>
      <c r="D98" s="32" t="s">
        <v>1167</v>
      </c>
      <c r="E98" s="5">
        <f>'ПДФО ГРОМАДИ'!M98</f>
        <v>0</v>
      </c>
      <c r="F98" s="5">
        <f>'ПДФО ГРОМАДИ'!N98</f>
        <v>11790.1</v>
      </c>
    </row>
    <row r="99" spans="1:6" ht="15.75" x14ac:dyDescent="0.25">
      <c r="A99" s="33" t="s">
        <v>752</v>
      </c>
      <c r="B99" s="34" t="s">
        <v>984</v>
      </c>
      <c r="C99" s="18" t="s">
        <v>470</v>
      </c>
      <c r="D99" s="32" t="s">
        <v>1168</v>
      </c>
      <c r="E99" s="5">
        <f>'ПДФО ГРОМАДИ'!M99</f>
        <v>0</v>
      </c>
      <c r="F99" s="5">
        <f>'ПДФО ГРОМАДИ'!N99</f>
        <v>12917.7</v>
      </c>
    </row>
    <row r="100" spans="1:6" ht="15.75" x14ac:dyDescent="0.25">
      <c r="A100" s="33" t="s">
        <v>752</v>
      </c>
      <c r="B100" s="34" t="s">
        <v>984</v>
      </c>
      <c r="C100" s="18" t="s">
        <v>471</v>
      </c>
      <c r="D100" s="32" t="s">
        <v>1169</v>
      </c>
      <c r="E100" s="5">
        <f>'ПДФО ГРОМАДИ'!M100</f>
        <v>0</v>
      </c>
      <c r="F100" s="5">
        <f>'ПДФО ГРОМАДИ'!N100</f>
        <v>1462.2</v>
      </c>
    </row>
    <row r="101" spans="1:6" ht="15.75" x14ac:dyDescent="0.25">
      <c r="A101" s="33" t="s">
        <v>752</v>
      </c>
      <c r="B101" s="34" t="s">
        <v>984</v>
      </c>
      <c r="C101" s="18" t="s">
        <v>472</v>
      </c>
      <c r="D101" s="32" t="s">
        <v>1170</v>
      </c>
      <c r="E101" s="5">
        <f>'ПДФО ГРОМАДИ'!M101</f>
        <v>0</v>
      </c>
      <c r="F101" s="5">
        <f>'ПДФО ГРОМАДИ'!N101</f>
        <v>19424.7</v>
      </c>
    </row>
    <row r="102" spans="1:6" ht="15.75" x14ac:dyDescent="0.25">
      <c r="A102" s="33" t="s">
        <v>752</v>
      </c>
      <c r="B102" s="34" t="s">
        <v>984</v>
      </c>
      <c r="C102" s="18" t="s">
        <v>473</v>
      </c>
      <c r="D102" s="32" t="s">
        <v>1171</v>
      </c>
      <c r="E102" s="5">
        <f>'ПДФО ГРОМАДИ'!M102</f>
        <v>0</v>
      </c>
      <c r="F102" s="5">
        <f>'ПДФО ГРОМАДИ'!N102</f>
        <v>9738.2000000000007</v>
      </c>
    </row>
    <row r="103" spans="1:6" ht="15.75" x14ac:dyDescent="0.25">
      <c r="A103" s="33" t="s">
        <v>752</v>
      </c>
      <c r="B103" s="34" t="s">
        <v>985</v>
      </c>
      <c r="C103" s="18" t="s">
        <v>516</v>
      </c>
      <c r="D103" s="32" t="s">
        <v>1172</v>
      </c>
      <c r="E103" s="5">
        <f>'ПДФО ГРОМАДИ'!M103</f>
        <v>0</v>
      </c>
      <c r="F103" s="5">
        <f>'ПДФО ГРОМАДИ'!N103</f>
        <v>10180.700000000001</v>
      </c>
    </row>
    <row r="104" spans="1:6" ht="15.75" x14ac:dyDescent="0.25">
      <c r="A104" s="33" t="s">
        <v>752</v>
      </c>
      <c r="B104" s="34" t="s">
        <v>985</v>
      </c>
      <c r="C104" s="18" t="s">
        <v>517</v>
      </c>
      <c r="D104" s="32" t="s">
        <v>1173</v>
      </c>
      <c r="E104" s="5">
        <f>'ПДФО ГРОМАДИ'!M104</f>
        <v>0</v>
      </c>
      <c r="F104" s="5">
        <f>'ПДФО ГРОМАДИ'!N104</f>
        <v>24318.1</v>
      </c>
    </row>
    <row r="105" spans="1:6" ht="15.75" x14ac:dyDescent="0.25">
      <c r="A105" s="33" t="s">
        <v>752</v>
      </c>
      <c r="B105" s="34" t="s">
        <v>984</v>
      </c>
      <c r="C105" s="18" t="s">
        <v>518</v>
      </c>
      <c r="D105" s="32" t="s">
        <v>1174</v>
      </c>
      <c r="E105" s="5">
        <f>'ПДФО ГРОМАДИ'!M105</f>
        <v>22117</v>
      </c>
      <c r="F105" s="5">
        <f>'ПДФО ГРОМАДИ'!N105</f>
        <v>0</v>
      </c>
    </row>
    <row r="106" spans="1:6" ht="15.75" x14ac:dyDescent="0.25">
      <c r="A106" s="33" t="s">
        <v>752</v>
      </c>
      <c r="B106" s="34" t="s">
        <v>985</v>
      </c>
      <c r="C106" s="18" t="s">
        <v>519</v>
      </c>
      <c r="D106" s="32" t="s">
        <v>1175</v>
      </c>
      <c r="E106" s="5">
        <f>'ПДФО ГРОМАДИ'!M106</f>
        <v>0</v>
      </c>
      <c r="F106" s="5">
        <f>'ПДФО ГРОМАДИ'!N106</f>
        <v>42089.9</v>
      </c>
    </row>
    <row r="107" spans="1:6" ht="15.75" x14ac:dyDescent="0.25">
      <c r="A107" s="33" t="s">
        <v>752</v>
      </c>
      <c r="B107" s="34" t="s">
        <v>984</v>
      </c>
      <c r="C107" s="18" t="s">
        <v>520</v>
      </c>
      <c r="D107" s="32" t="s">
        <v>1176</v>
      </c>
      <c r="E107" s="5">
        <f>'ПДФО ГРОМАДИ'!M107</f>
        <v>0</v>
      </c>
      <c r="F107" s="5">
        <f>'ПДФО ГРОМАДИ'!N107</f>
        <v>5486</v>
      </c>
    </row>
    <row r="108" spans="1:6" ht="15.75" x14ac:dyDescent="0.25">
      <c r="A108" s="33" t="s">
        <v>752</v>
      </c>
      <c r="B108" s="34" t="s">
        <v>985</v>
      </c>
      <c r="C108" s="18" t="s">
        <v>521</v>
      </c>
      <c r="D108" s="32" t="s">
        <v>1177</v>
      </c>
      <c r="E108" s="5">
        <f>'ПДФО ГРОМАДИ'!M108</f>
        <v>0</v>
      </c>
      <c r="F108" s="5">
        <f>'ПДФО ГРОМАДИ'!N108</f>
        <v>11693.9</v>
      </c>
    </row>
    <row r="109" spans="1:6" s="24" customFormat="1" ht="15.75" x14ac:dyDescent="0.25">
      <c r="A109" s="33" t="s">
        <v>752</v>
      </c>
      <c r="B109" s="34" t="s">
        <v>983</v>
      </c>
      <c r="C109" s="18" t="s">
        <v>522</v>
      </c>
      <c r="D109" s="32" t="s">
        <v>1178</v>
      </c>
      <c r="E109" s="5">
        <f>'ПДФО ГРОМАДИ'!M109</f>
        <v>0</v>
      </c>
      <c r="F109" s="5">
        <f>'ПДФО ГРОМАДИ'!N109</f>
        <v>16160.2</v>
      </c>
    </row>
    <row r="110" spans="1:6" s="24" customFormat="1" ht="15.75" x14ac:dyDescent="0.25">
      <c r="A110" s="33" t="s">
        <v>752</v>
      </c>
      <c r="B110" s="34" t="s">
        <v>985</v>
      </c>
      <c r="C110" s="18" t="s">
        <v>523</v>
      </c>
      <c r="D110" s="32" t="s">
        <v>1179</v>
      </c>
      <c r="E110" s="5">
        <f>'ПДФО ГРОМАДИ'!M110</f>
        <v>0</v>
      </c>
      <c r="F110" s="5">
        <f>'ПДФО ГРОМАДИ'!N110</f>
        <v>33324.199999999997</v>
      </c>
    </row>
    <row r="111" spans="1:6" s="24" customFormat="1" ht="15.75" x14ac:dyDescent="0.25">
      <c r="A111" s="33" t="s">
        <v>752</v>
      </c>
      <c r="B111" s="34" t="s">
        <v>984</v>
      </c>
      <c r="C111" s="18" t="s">
        <v>524</v>
      </c>
      <c r="D111" s="32" t="s">
        <v>1180</v>
      </c>
      <c r="E111" s="5">
        <f>'ПДФО ГРОМАДИ'!M111</f>
        <v>0</v>
      </c>
      <c r="F111" s="5">
        <f>'ПДФО ГРОМАДИ'!N111</f>
        <v>7452.5</v>
      </c>
    </row>
    <row r="112" spans="1:6" s="24" customFormat="1" ht="15.75" x14ac:dyDescent="0.25">
      <c r="A112" s="33" t="s">
        <v>752</v>
      </c>
      <c r="B112" s="34" t="s">
        <v>984</v>
      </c>
      <c r="C112" s="18" t="s">
        <v>525</v>
      </c>
      <c r="D112" s="32" t="s">
        <v>1181</v>
      </c>
      <c r="E112" s="5">
        <f>'ПДФО ГРОМАДИ'!M112</f>
        <v>0</v>
      </c>
      <c r="F112" s="5">
        <f>'ПДФО ГРОМАДИ'!N112</f>
        <v>7979.7</v>
      </c>
    </row>
    <row r="113" spans="1:6" s="24" customFormat="1" ht="15.75" x14ac:dyDescent="0.25">
      <c r="A113" s="33" t="s">
        <v>752</v>
      </c>
      <c r="B113" s="34" t="s">
        <v>984</v>
      </c>
      <c r="C113" s="18" t="s">
        <v>526</v>
      </c>
      <c r="D113" s="32" t="s">
        <v>1182</v>
      </c>
      <c r="E113" s="5">
        <f>'ПДФО ГРОМАДИ'!M113</f>
        <v>0</v>
      </c>
      <c r="F113" s="5">
        <f>'ПДФО ГРОМАДИ'!N113</f>
        <v>17285.599999999999</v>
      </c>
    </row>
    <row r="114" spans="1:6" s="24" customFormat="1" ht="15.75" x14ac:dyDescent="0.25">
      <c r="A114" s="33" t="s">
        <v>752</v>
      </c>
      <c r="B114" s="34" t="s">
        <v>984</v>
      </c>
      <c r="C114" s="18" t="s">
        <v>527</v>
      </c>
      <c r="D114" s="32" t="s">
        <v>1183</v>
      </c>
      <c r="E114" s="5">
        <f>'ПДФО ГРОМАДИ'!M114</f>
        <v>0</v>
      </c>
      <c r="F114" s="5">
        <f>'ПДФО ГРОМАДИ'!N114</f>
        <v>6117.7</v>
      </c>
    </row>
    <row r="115" spans="1:6" s="24" customFormat="1" ht="15.75" x14ac:dyDescent="0.25">
      <c r="A115" s="33" t="s">
        <v>752</v>
      </c>
      <c r="B115" s="34" t="s">
        <v>984</v>
      </c>
      <c r="C115" s="18" t="s">
        <v>528</v>
      </c>
      <c r="D115" s="32" t="s">
        <v>1184</v>
      </c>
      <c r="E115" s="5">
        <f>'ПДФО ГРОМАДИ'!M115</f>
        <v>0</v>
      </c>
      <c r="F115" s="5">
        <f>'ПДФО ГРОМАДИ'!N115</f>
        <v>7115.5</v>
      </c>
    </row>
    <row r="116" spans="1:6" s="24" customFormat="1" ht="15.75" x14ac:dyDescent="0.25">
      <c r="A116" s="33" t="s">
        <v>752</v>
      </c>
      <c r="B116" s="34" t="s">
        <v>985</v>
      </c>
      <c r="C116" s="18" t="s">
        <v>529</v>
      </c>
      <c r="D116" s="32" t="s">
        <v>1185</v>
      </c>
      <c r="E116" s="5">
        <f>'ПДФО ГРОМАДИ'!M116</f>
        <v>0</v>
      </c>
      <c r="F116" s="5">
        <f>'ПДФО ГРОМАДИ'!N116</f>
        <v>6959.7</v>
      </c>
    </row>
    <row r="117" spans="1:6" ht="15.75" x14ac:dyDescent="0.25">
      <c r="A117" s="33" t="s">
        <v>752</v>
      </c>
      <c r="B117" s="34" t="s">
        <v>985</v>
      </c>
      <c r="C117" s="18" t="s">
        <v>530</v>
      </c>
      <c r="D117" s="32" t="s">
        <v>1186</v>
      </c>
      <c r="E117" s="5">
        <f>'ПДФО ГРОМАДИ'!M117</f>
        <v>0</v>
      </c>
      <c r="F117" s="5">
        <f>'ПДФО ГРОМАДИ'!N117</f>
        <v>16821.599999999999</v>
      </c>
    </row>
    <row r="118" spans="1:6" ht="15.75" x14ac:dyDescent="0.25">
      <c r="A118" s="33" t="s">
        <v>752</v>
      </c>
      <c r="B118" s="34" t="s">
        <v>984</v>
      </c>
      <c r="C118" s="18" t="s">
        <v>531</v>
      </c>
      <c r="D118" s="32" t="s">
        <v>1187</v>
      </c>
      <c r="E118" s="5">
        <f>'ПДФО ГРОМАДИ'!M118</f>
        <v>0</v>
      </c>
      <c r="F118" s="5">
        <f>'ПДФО ГРОМАДИ'!N118</f>
        <v>4665.6000000000004</v>
      </c>
    </row>
    <row r="119" spans="1:6" ht="15.75" x14ac:dyDescent="0.25">
      <c r="A119" s="33" t="s">
        <v>752</v>
      </c>
      <c r="B119" s="34" t="s">
        <v>984</v>
      </c>
      <c r="C119" s="18" t="s">
        <v>532</v>
      </c>
      <c r="D119" s="32" t="s">
        <v>1188</v>
      </c>
      <c r="E119" s="5">
        <f>'ПДФО ГРОМАДИ'!M119</f>
        <v>0</v>
      </c>
      <c r="F119" s="5">
        <f>'ПДФО ГРОМАДИ'!N119</f>
        <v>4985.6000000000004</v>
      </c>
    </row>
    <row r="120" spans="1:6" ht="15.75" x14ac:dyDescent="0.25">
      <c r="A120" s="33" t="s">
        <v>752</v>
      </c>
      <c r="B120" s="34" t="s">
        <v>984</v>
      </c>
      <c r="C120" s="18" t="s">
        <v>676</v>
      </c>
      <c r="D120" s="32" t="s">
        <v>1189</v>
      </c>
      <c r="E120" s="5">
        <f>'ПДФО ГРОМАДИ'!M120</f>
        <v>0</v>
      </c>
      <c r="F120" s="5">
        <f>'ПДФО ГРОМАДИ'!N120</f>
        <v>9863.7999999999993</v>
      </c>
    </row>
    <row r="121" spans="1:6" ht="15.75" x14ac:dyDescent="0.25">
      <c r="A121" s="33" t="s">
        <v>752</v>
      </c>
      <c r="B121" s="34" t="s">
        <v>985</v>
      </c>
      <c r="C121" s="30" t="s">
        <v>738</v>
      </c>
      <c r="D121" s="32" t="s">
        <v>1190</v>
      </c>
      <c r="E121" s="5">
        <f>'ПДФО ГРОМАДИ'!M121</f>
        <v>0</v>
      </c>
      <c r="F121" s="5">
        <f>'ПДФО ГРОМАДИ'!N121</f>
        <v>7304.3</v>
      </c>
    </row>
    <row r="122" spans="1:6" ht="15.75" x14ac:dyDescent="0.25">
      <c r="A122" s="33" t="s">
        <v>752</v>
      </c>
      <c r="B122" s="34" t="s">
        <v>983</v>
      </c>
      <c r="C122" s="30" t="s">
        <v>865</v>
      </c>
      <c r="D122" s="32" t="s">
        <v>1191</v>
      </c>
      <c r="E122" s="5">
        <f>'ПДФО ГРОМАДИ'!M122</f>
        <v>0</v>
      </c>
      <c r="F122" s="5">
        <f>'ПДФО ГРОМАДИ'!N122</f>
        <v>15129.4</v>
      </c>
    </row>
    <row r="123" spans="1:6" ht="15.75" x14ac:dyDescent="0.25">
      <c r="A123" s="33" t="s">
        <v>752</v>
      </c>
      <c r="B123" s="34" t="s">
        <v>984</v>
      </c>
      <c r="C123" s="30" t="s">
        <v>2736</v>
      </c>
      <c r="D123" s="32" t="s">
        <v>2822</v>
      </c>
      <c r="E123" s="5">
        <f>'ПДФО ГРОМАДИ'!M123</f>
        <v>18815.599999999999</v>
      </c>
      <c r="F123" s="5">
        <f>'ПДФО ГРОМАДИ'!N123</f>
        <v>0</v>
      </c>
    </row>
    <row r="124" spans="1:6" ht="15.75" x14ac:dyDescent="0.25">
      <c r="A124" s="33" t="s">
        <v>752</v>
      </c>
      <c r="B124" s="34" t="s">
        <v>985</v>
      </c>
      <c r="C124" s="30" t="s">
        <v>866</v>
      </c>
      <c r="D124" s="32" t="s">
        <v>1192</v>
      </c>
      <c r="E124" s="5">
        <f>'ПДФО ГРОМАДИ'!M124</f>
        <v>0</v>
      </c>
      <c r="F124" s="5">
        <f>'ПДФО ГРОМАДИ'!N124</f>
        <v>13982.5</v>
      </c>
    </row>
    <row r="125" spans="1:6" ht="15.75" x14ac:dyDescent="0.25">
      <c r="A125" s="33" t="s">
        <v>752</v>
      </c>
      <c r="B125" s="34" t="s">
        <v>986</v>
      </c>
      <c r="C125" s="30" t="s">
        <v>1021</v>
      </c>
      <c r="D125" s="32" t="s">
        <v>1193</v>
      </c>
      <c r="E125" s="5">
        <f>'ПДФО ГРОМАДИ'!M125</f>
        <v>111490.9</v>
      </c>
      <c r="F125" s="5">
        <f>'ПДФО ГРОМАДИ'!N125</f>
        <v>0</v>
      </c>
    </row>
    <row r="126" spans="1:6" ht="15.75" x14ac:dyDescent="0.25">
      <c r="A126" s="33" t="s">
        <v>752</v>
      </c>
      <c r="B126" s="34" t="s">
        <v>985</v>
      </c>
      <c r="C126" s="30" t="s">
        <v>1027</v>
      </c>
      <c r="D126" s="32" t="s">
        <v>1194</v>
      </c>
      <c r="E126" s="5">
        <f>'ПДФО ГРОМАДИ'!M126</f>
        <v>0</v>
      </c>
      <c r="F126" s="5">
        <f>'ПДФО ГРОМАДИ'!N126</f>
        <v>17602.8</v>
      </c>
    </row>
    <row r="127" spans="1:6" ht="15.75" x14ac:dyDescent="0.25">
      <c r="A127" s="33" t="s">
        <v>752</v>
      </c>
      <c r="B127" s="34" t="s">
        <v>984</v>
      </c>
      <c r="C127" s="30" t="s">
        <v>1028</v>
      </c>
      <c r="D127" s="32" t="s">
        <v>1195</v>
      </c>
      <c r="E127" s="5">
        <f>'ПДФО ГРОМАДИ'!M127</f>
        <v>0</v>
      </c>
      <c r="F127" s="5">
        <f>'ПДФО ГРОМАДИ'!N127</f>
        <v>10258.6</v>
      </c>
    </row>
    <row r="128" spans="1:6" ht="15.75" x14ac:dyDescent="0.25">
      <c r="A128" s="33" t="s">
        <v>752</v>
      </c>
      <c r="B128" s="34" t="s">
        <v>984</v>
      </c>
      <c r="C128" s="30" t="s">
        <v>1055</v>
      </c>
      <c r="D128" s="32" t="s">
        <v>1196</v>
      </c>
      <c r="E128" s="5">
        <f>'ПДФО ГРОМАДИ'!M128</f>
        <v>0</v>
      </c>
      <c r="F128" s="5">
        <f>'ПДФО ГРОМАДИ'!N128</f>
        <v>18950.5</v>
      </c>
    </row>
    <row r="129" spans="1:6" ht="15.75" x14ac:dyDescent="0.25">
      <c r="A129" s="33" t="s">
        <v>752</v>
      </c>
      <c r="B129" s="34" t="s">
        <v>983</v>
      </c>
      <c r="C129" s="30" t="s">
        <v>1197</v>
      </c>
      <c r="D129" s="32" t="s">
        <v>1198</v>
      </c>
      <c r="E129" s="5">
        <f>'ПДФО ГРОМАДИ'!M129</f>
        <v>0</v>
      </c>
      <c r="F129" s="5">
        <f>'ПДФО ГРОМАДИ'!N129</f>
        <v>11649.6</v>
      </c>
    </row>
    <row r="130" spans="1:6" ht="15.75" x14ac:dyDescent="0.25">
      <c r="A130" s="33" t="s">
        <v>752</v>
      </c>
      <c r="B130" s="34" t="s">
        <v>986</v>
      </c>
      <c r="C130" s="30" t="s">
        <v>1199</v>
      </c>
      <c r="D130" s="32" t="s">
        <v>1200</v>
      </c>
      <c r="E130" s="5">
        <f>'ПДФО ГРОМАДИ'!M130</f>
        <v>18809.400000000001</v>
      </c>
      <c r="F130" s="5">
        <f>'ПДФО ГРОМАДИ'!N130</f>
        <v>0</v>
      </c>
    </row>
    <row r="131" spans="1:6" ht="15.75" x14ac:dyDescent="0.25">
      <c r="A131" s="33" t="s">
        <v>752</v>
      </c>
      <c r="B131" s="34" t="s">
        <v>983</v>
      </c>
      <c r="C131" s="30" t="s">
        <v>1201</v>
      </c>
      <c r="D131" s="32" t="s">
        <v>1202</v>
      </c>
      <c r="E131" s="5">
        <f>'ПДФО ГРОМАДИ'!M131</f>
        <v>0</v>
      </c>
      <c r="F131" s="5">
        <f>'ПДФО ГРОМАДИ'!N131</f>
        <v>14553</v>
      </c>
    </row>
    <row r="132" spans="1:6" ht="15.75" x14ac:dyDescent="0.25">
      <c r="A132" s="33" t="s">
        <v>752</v>
      </c>
      <c r="B132" s="34" t="s">
        <v>983</v>
      </c>
      <c r="C132" s="30" t="s">
        <v>1203</v>
      </c>
      <c r="D132" s="32" t="s">
        <v>1204</v>
      </c>
      <c r="E132" s="5">
        <f>'ПДФО ГРОМАДИ'!M132</f>
        <v>0</v>
      </c>
      <c r="F132" s="5">
        <f>'ПДФО ГРОМАДИ'!N132</f>
        <v>91733.3</v>
      </c>
    </row>
    <row r="133" spans="1:6" ht="15.75" x14ac:dyDescent="0.25">
      <c r="A133" s="33" t="s">
        <v>752</v>
      </c>
      <c r="B133" s="34" t="s">
        <v>986</v>
      </c>
      <c r="C133" s="30" t="s">
        <v>1205</v>
      </c>
      <c r="D133" s="32" t="s">
        <v>1206</v>
      </c>
      <c r="E133" s="5">
        <f>'ПДФО ГРОМАДИ'!M133</f>
        <v>0</v>
      </c>
      <c r="F133" s="5">
        <f>'ПДФО ГРОМАДИ'!N133</f>
        <v>17090.099999999999</v>
      </c>
    </row>
    <row r="134" spans="1:6" ht="15.75" x14ac:dyDescent="0.25">
      <c r="A134" s="33" t="s">
        <v>752</v>
      </c>
      <c r="B134" s="34" t="s">
        <v>985</v>
      </c>
      <c r="C134" s="30" t="s">
        <v>1207</v>
      </c>
      <c r="D134" s="32" t="s">
        <v>1208</v>
      </c>
      <c r="E134" s="5">
        <f>'ПДФО ГРОМАДИ'!M134</f>
        <v>0</v>
      </c>
      <c r="F134" s="5">
        <f>'ПДФО ГРОМАДИ'!N134</f>
        <v>12969.7</v>
      </c>
    </row>
    <row r="135" spans="1:6" ht="15.75" x14ac:dyDescent="0.25">
      <c r="A135" s="33" t="s">
        <v>752</v>
      </c>
      <c r="B135" s="34" t="s">
        <v>985</v>
      </c>
      <c r="C135" s="30" t="s">
        <v>1209</v>
      </c>
      <c r="D135" s="32" t="s">
        <v>1210</v>
      </c>
      <c r="E135" s="5">
        <f>'ПДФО ГРОМАДИ'!M135</f>
        <v>0</v>
      </c>
      <c r="F135" s="5">
        <f>'ПДФО ГРОМАДИ'!N135</f>
        <v>25563.4</v>
      </c>
    </row>
    <row r="136" spans="1:6" ht="15.75" x14ac:dyDescent="0.25">
      <c r="A136" s="33" t="s">
        <v>752</v>
      </c>
      <c r="B136" s="34" t="s">
        <v>986</v>
      </c>
      <c r="C136" s="30" t="s">
        <v>1211</v>
      </c>
      <c r="D136" s="32" t="s">
        <v>1212</v>
      </c>
      <c r="E136" s="5">
        <f>'ПДФО ГРОМАДИ'!M136</f>
        <v>0</v>
      </c>
      <c r="F136" s="5">
        <f>'ПДФО ГРОМАДИ'!N136</f>
        <v>44527.6</v>
      </c>
    </row>
    <row r="137" spans="1:6" ht="15.75" x14ac:dyDescent="0.25">
      <c r="A137" s="33" t="s">
        <v>752</v>
      </c>
      <c r="B137" s="34" t="s">
        <v>985</v>
      </c>
      <c r="C137" s="30" t="s">
        <v>1213</v>
      </c>
      <c r="D137" s="32" t="s">
        <v>1214</v>
      </c>
      <c r="E137" s="5">
        <f>'ПДФО ГРОМАДИ'!M137</f>
        <v>0</v>
      </c>
      <c r="F137" s="5">
        <f>'ПДФО ГРОМАДИ'!N137</f>
        <v>15854.1</v>
      </c>
    </row>
    <row r="138" spans="1:6" ht="15.75" x14ac:dyDescent="0.25">
      <c r="A138" s="33" t="s">
        <v>752</v>
      </c>
      <c r="B138" s="34" t="s">
        <v>985</v>
      </c>
      <c r="C138" s="30" t="s">
        <v>1215</v>
      </c>
      <c r="D138" s="32" t="s">
        <v>1216</v>
      </c>
      <c r="E138" s="5">
        <f>'ПДФО ГРОМАДИ'!M138</f>
        <v>0</v>
      </c>
      <c r="F138" s="5">
        <f>'ПДФО ГРОМАДИ'!N138</f>
        <v>26172.6</v>
      </c>
    </row>
    <row r="139" spans="1:6" ht="15.75" x14ac:dyDescent="0.25">
      <c r="A139" s="33" t="s">
        <v>752</v>
      </c>
      <c r="B139" s="34" t="s">
        <v>983</v>
      </c>
      <c r="C139" s="30" t="s">
        <v>2732</v>
      </c>
      <c r="D139" s="32" t="s">
        <v>1217</v>
      </c>
      <c r="E139" s="5">
        <f>'ПДФО ГРОМАДИ'!M139</f>
        <v>0</v>
      </c>
      <c r="F139" s="5">
        <f>'ПДФО ГРОМАДИ'!N139</f>
        <v>26014.9</v>
      </c>
    </row>
    <row r="140" spans="1:6" ht="15.75" x14ac:dyDescent="0.25">
      <c r="A140" s="17" t="s">
        <v>756</v>
      </c>
      <c r="B140" s="17" t="s">
        <v>7</v>
      </c>
      <c r="C140" s="17" t="s">
        <v>757</v>
      </c>
      <c r="D140" s="11" t="s">
        <v>10</v>
      </c>
      <c r="E140" s="11">
        <f>E141+E142+E150</f>
        <v>2813331.9000000004</v>
      </c>
      <c r="F140" s="11">
        <f>F141+F142+F150</f>
        <v>442125.80000000005</v>
      </c>
    </row>
    <row r="141" spans="1:6" ht="15.75" x14ac:dyDescent="0.25">
      <c r="A141" s="33" t="s">
        <v>756</v>
      </c>
      <c r="B141" s="34" t="s">
        <v>6</v>
      </c>
      <c r="C141" s="18" t="s">
        <v>43</v>
      </c>
      <c r="D141" s="32" t="s">
        <v>839</v>
      </c>
      <c r="E141" s="5">
        <f>'ПДФО ОБЛАСНІ'!K6+'ПОДАТОК НА ПРИБУТОК'!K6</f>
        <v>773827.9</v>
      </c>
      <c r="F141" s="5">
        <f>'ПДФО ОБЛАСНІ'!L6+'ПОДАТОК НА ПРИБУТОК'!L6</f>
        <v>0</v>
      </c>
    </row>
    <row r="142" spans="1:6" ht="15.75" x14ac:dyDescent="0.25">
      <c r="A142" s="19" t="s">
        <v>756</v>
      </c>
      <c r="B142" s="19" t="s">
        <v>5</v>
      </c>
      <c r="C142" s="19" t="s">
        <v>758</v>
      </c>
      <c r="D142" s="7" t="s">
        <v>2795</v>
      </c>
      <c r="E142" s="7">
        <f>SUM(E143:E149)</f>
        <v>0</v>
      </c>
      <c r="F142" s="7">
        <f>SUM(F143:F149)</f>
        <v>0</v>
      </c>
    </row>
    <row r="143" spans="1:6" ht="15.75" x14ac:dyDescent="0.25">
      <c r="A143" s="33" t="s">
        <v>756</v>
      </c>
      <c r="B143" s="34" t="s">
        <v>4</v>
      </c>
      <c r="C143" s="18" t="s">
        <v>44</v>
      </c>
      <c r="D143" s="32" t="s">
        <v>891</v>
      </c>
      <c r="E143" s="5">
        <f>'ПДФО ГРОМАДИ'!M143</f>
        <v>0</v>
      </c>
      <c r="F143" s="5">
        <f>'ПДФО ГРОМАДИ'!N143</f>
        <v>0</v>
      </c>
    </row>
    <row r="144" spans="1:6" ht="15.75" x14ac:dyDescent="0.25">
      <c r="A144" s="33" t="s">
        <v>756</v>
      </c>
      <c r="B144" s="34" t="s">
        <v>4</v>
      </c>
      <c r="C144" s="18" t="s">
        <v>45</v>
      </c>
      <c r="D144" s="32" t="s">
        <v>892</v>
      </c>
      <c r="E144" s="5">
        <f>'ПДФО ГРОМАДИ'!M144</f>
        <v>0</v>
      </c>
      <c r="F144" s="5">
        <f>'ПДФО ГРОМАДИ'!N144</f>
        <v>0</v>
      </c>
    </row>
    <row r="145" spans="1:6" ht="15.75" x14ac:dyDescent="0.25">
      <c r="A145" s="33" t="s">
        <v>756</v>
      </c>
      <c r="B145" s="34" t="s">
        <v>4</v>
      </c>
      <c r="C145" s="18" t="s">
        <v>46</v>
      </c>
      <c r="D145" s="32" t="s">
        <v>893</v>
      </c>
      <c r="E145" s="5">
        <f>'ПДФО ГРОМАДИ'!M145</f>
        <v>0</v>
      </c>
      <c r="F145" s="5">
        <f>'ПДФО ГРОМАДИ'!N145</f>
        <v>0</v>
      </c>
    </row>
    <row r="146" spans="1:6" ht="15.75" x14ac:dyDescent="0.25">
      <c r="A146" s="33" t="s">
        <v>756</v>
      </c>
      <c r="B146" s="34" t="s">
        <v>4</v>
      </c>
      <c r="C146" s="18" t="s">
        <v>47</v>
      </c>
      <c r="D146" s="32" t="s">
        <v>894</v>
      </c>
      <c r="E146" s="5">
        <f>'ПДФО ГРОМАДИ'!M146</f>
        <v>0</v>
      </c>
      <c r="F146" s="5">
        <f>'ПДФО ГРОМАДИ'!N146</f>
        <v>0</v>
      </c>
    </row>
    <row r="147" spans="1:6" ht="15.75" x14ac:dyDescent="0.25">
      <c r="A147" s="33" t="s">
        <v>756</v>
      </c>
      <c r="B147" s="34" t="s">
        <v>4</v>
      </c>
      <c r="C147" s="18" t="s">
        <v>1056</v>
      </c>
      <c r="D147" s="32" t="s">
        <v>1057</v>
      </c>
      <c r="E147" s="5">
        <f>'ПДФО ГРОМАДИ'!M147</f>
        <v>0</v>
      </c>
      <c r="F147" s="5">
        <f>'ПДФО ГРОМАДИ'!N147</f>
        <v>0</v>
      </c>
    </row>
    <row r="148" spans="1:6" ht="15.75" x14ac:dyDescent="0.25">
      <c r="A148" s="33" t="s">
        <v>756</v>
      </c>
      <c r="B148" s="34" t="s">
        <v>4</v>
      </c>
      <c r="C148" s="18" t="s">
        <v>2737</v>
      </c>
      <c r="D148" s="32" t="s">
        <v>2738</v>
      </c>
      <c r="E148" s="5">
        <f>'ПДФО ГРОМАДИ'!M148</f>
        <v>0</v>
      </c>
      <c r="F148" s="5">
        <f>'ПДФО ГРОМАДИ'!N148</f>
        <v>0</v>
      </c>
    </row>
    <row r="149" spans="1:6" ht="15.75" x14ac:dyDescent="0.25">
      <c r="A149" s="33" t="s">
        <v>756</v>
      </c>
      <c r="B149" s="34" t="s">
        <v>4</v>
      </c>
      <c r="C149" s="79" t="s">
        <v>1218</v>
      </c>
      <c r="D149" s="32" t="s">
        <v>1219</v>
      </c>
      <c r="E149" s="5">
        <f>'ПДФО ГРОМАДИ'!M149</f>
        <v>0</v>
      </c>
      <c r="F149" s="5">
        <f>'ПДФО ГРОМАДИ'!N149</f>
        <v>0</v>
      </c>
    </row>
    <row r="150" spans="1:6" ht="15.75" x14ac:dyDescent="0.25">
      <c r="A150" s="19" t="s">
        <v>756</v>
      </c>
      <c r="B150" s="19" t="s">
        <v>28</v>
      </c>
      <c r="C150" s="19" t="s">
        <v>759</v>
      </c>
      <c r="D150" s="20" t="s">
        <v>2770</v>
      </c>
      <c r="E150" s="7">
        <f>SUM(E151:E236)</f>
        <v>2039504.0000000002</v>
      </c>
      <c r="F150" s="7">
        <f>SUM(F151:F236)</f>
        <v>442125.80000000005</v>
      </c>
    </row>
    <row r="151" spans="1:6" ht="15.75" x14ac:dyDescent="0.25">
      <c r="A151" s="33" t="s">
        <v>756</v>
      </c>
      <c r="B151" s="34" t="s">
        <v>983</v>
      </c>
      <c r="C151" s="18" t="s">
        <v>48</v>
      </c>
      <c r="D151" s="32" t="s">
        <v>1220</v>
      </c>
      <c r="E151" s="5">
        <f>'ПДФО ГРОМАДИ'!M151</f>
        <v>0</v>
      </c>
      <c r="F151" s="5">
        <f>'ПДФО ГРОМАДИ'!N151</f>
        <v>9226.7000000000007</v>
      </c>
    </row>
    <row r="152" spans="1:6" ht="15.75" x14ac:dyDescent="0.25">
      <c r="A152" s="33" t="s">
        <v>756</v>
      </c>
      <c r="B152" s="34" t="s">
        <v>984</v>
      </c>
      <c r="C152" s="18" t="s">
        <v>49</v>
      </c>
      <c r="D152" s="32" t="s">
        <v>1221</v>
      </c>
      <c r="E152" s="5">
        <f>'ПДФО ГРОМАДИ'!M152</f>
        <v>33908.6</v>
      </c>
      <c r="F152" s="5">
        <f>'ПДФО ГРОМАДИ'!N152</f>
        <v>0</v>
      </c>
    </row>
    <row r="153" spans="1:6" ht="15.75" x14ac:dyDescent="0.25">
      <c r="A153" s="33" t="s">
        <v>756</v>
      </c>
      <c r="B153" s="34" t="s">
        <v>984</v>
      </c>
      <c r="C153" s="18" t="s">
        <v>50</v>
      </c>
      <c r="D153" s="32" t="s">
        <v>1222</v>
      </c>
      <c r="E153" s="5">
        <f>'ПДФО ГРОМАДИ'!M153</f>
        <v>47177.9</v>
      </c>
      <c r="F153" s="5">
        <f>'ПДФО ГРОМАДИ'!N153</f>
        <v>0</v>
      </c>
    </row>
    <row r="154" spans="1:6" ht="15.75" x14ac:dyDescent="0.25">
      <c r="A154" s="33" t="s">
        <v>756</v>
      </c>
      <c r="B154" s="34" t="s">
        <v>984</v>
      </c>
      <c r="C154" s="18" t="s">
        <v>51</v>
      </c>
      <c r="D154" s="32" t="s">
        <v>1223</v>
      </c>
      <c r="E154" s="5">
        <f>'ПДФО ГРОМАДИ'!M154</f>
        <v>0</v>
      </c>
      <c r="F154" s="5">
        <f>'ПДФО ГРОМАДИ'!N154</f>
        <v>4392.5</v>
      </c>
    </row>
    <row r="155" spans="1:6" ht="15.75" x14ac:dyDescent="0.25">
      <c r="A155" s="33" t="s">
        <v>756</v>
      </c>
      <c r="B155" s="34" t="s">
        <v>984</v>
      </c>
      <c r="C155" s="18" t="s">
        <v>52</v>
      </c>
      <c r="D155" s="32" t="s">
        <v>1224</v>
      </c>
      <c r="E155" s="5">
        <f>'ПДФО ГРОМАДИ'!M155</f>
        <v>0</v>
      </c>
      <c r="F155" s="5">
        <f>'ПДФО ГРОМАДИ'!N155</f>
        <v>2790</v>
      </c>
    </row>
    <row r="156" spans="1:6" ht="15.75" x14ac:dyDescent="0.25">
      <c r="A156" s="33" t="s">
        <v>756</v>
      </c>
      <c r="B156" s="34" t="s">
        <v>983</v>
      </c>
      <c r="C156" s="18" t="s">
        <v>53</v>
      </c>
      <c r="D156" s="32" t="s">
        <v>1225</v>
      </c>
      <c r="E156" s="5">
        <f>'ПДФО ГРОМАДИ'!M156</f>
        <v>0</v>
      </c>
      <c r="F156" s="5">
        <f>'ПДФО ГРОМАДИ'!N156</f>
        <v>8108.4</v>
      </c>
    </row>
    <row r="157" spans="1:6" ht="15.75" x14ac:dyDescent="0.25">
      <c r="A157" s="33" t="s">
        <v>756</v>
      </c>
      <c r="B157" s="34" t="s">
        <v>984</v>
      </c>
      <c r="C157" s="18" t="s">
        <v>54</v>
      </c>
      <c r="D157" s="32" t="s">
        <v>1226</v>
      </c>
      <c r="E157" s="5">
        <f>'ПДФО ГРОМАДИ'!M157</f>
        <v>0</v>
      </c>
      <c r="F157" s="5">
        <f>'ПДФО ГРОМАДИ'!N157</f>
        <v>9740.5</v>
      </c>
    </row>
    <row r="158" spans="1:6" ht="15.75" x14ac:dyDescent="0.25">
      <c r="A158" s="33" t="s">
        <v>756</v>
      </c>
      <c r="B158" s="34" t="s">
        <v>984</v>
      </c>
      <c r="C158" s="18" t="s">
        <v>55</v>
      </c>
      <c r="D158" s="32" t="s">
        <v>1227</v>
      </c>
      <c r="E158" s="5">
        <f>'ПДФО ГРОМАДИ'!M158</f>
        <v>0</v>
      </c>
      <c r="F158" s="5">
        <f>'ПДФО ГРОМАДИ'!N158</f>
        <v>2619</v>
      </c>
    </row>
    <row r="159" spans="1:6" ht="15.75" x14ac:dyDescent="0.25">
      <c r="A159" s="33" t="s">
        <v>756</v>
      </c>
      <c r="B159" s="34" t="s">
        <v>984</v>
      </c>
      <c r="C159" s="18" t="s">
        <v>56</v>
      </c>
      <c r="D159" s="32" t="s">
        <v>1228</v>
      </c>
      <c r="E159" s="5">
        <f>'ПДФО ГРОМАДИ'!M159</f>
        <v>0</v>
      </c>
      <c r="F159" s="5">
        <f>'ПДФО ГРОМАДИ'!N159</f>
        <v>1537.3</v>
      </c>
    </row>
    <row r="160" spans="1:6" ht="15.75" x14ac:dyDescent="0.25">
      <c r="A160" s="33" t="s">
        <v>756</v>
      </c>
      <c r="B160" s="34" t="s">
        <v>984</v>
      </c>
      <c r="C160" s="18" t="s">
        <v>57</v>
      </c>
      <c r="D160" s="32" t="s">
        <v>1229</v>
      </c>
      <c r="E160" s="5">
        <f>'ПДФО ГРОМАДИ'!M160</f>
        <v>0</v>
      </c>
      <c r="F160" s="5">
        <f>'ПДФО ГРОМАДИ'!N160</f>
        <v>8359.9</v>
      </c>
    </row>
    <row r="161" spans="1:6" ht="15.75" x14ac:dyDescent="0.25">
      <c r="A161" s="33" t="s">
        <v>756</v>
      </c>
      <c r="B161" s="34" t="s">
        <v>984</v>
      </c>
      <c r="C161" s="18" t="s">
        <v>58</v>
      </c>
      <c r="D161" s="32" t="s">
        <v>2503</v>
      </c>
      <c r="E161" s="5">
        <f>'ПДФО ГРОМАДИ'!M161</f>
        <v>0</v>
      </c>
      <c r="F161" s="5">
        <f>'ПДФО ГРОМАДИ'!N161</f>
        <v>0</v>
      </c>
    </row>
    <row r="162" spans="1:6" ht="15.75" x14ac:dyDescent="0.25">
      <c r="A162" s="33" t="s">
        <v>756</v>
      </c>
      <c r="B162" s="34" t="s">
        <v>985</v>
      </c>
      <c r="C162" s="18" t="s">
        <v>59</v>
      </c>
      <c r="D162" s="32" t="s">
        <v>1230</v>
      </c>
      <c r="E162" s="5">
        <f>'ПДФО ГРОМАДИ'!M162</f>
        <v>0</v>
      </c>
      <c r="F162" s="5">
        <f>'ПДФО ГРОМАДИ'!N162</f>
        <v>7816.2</v>
      </c>
    </row>
    <row r="163" spans="1:6" ht="15.75" x14ac:dyDescent="0.25">
      <c r="A163" s="33" t="s">
        <v>756</v>
      </c>
      <c r="B163" s="34" t="s">
        <v>985</v>
      </c>
      <c r="C163" s="18" t="s">
        <v>60</v>
      </c>
      <c r="D163" s="32" t="s">
        <v>1231</v>
      </c>
      <c r="E163" s="5">
        <f>'ПДФО ГРОМАДИ'!M163</f>
        <v>0</v>
      </c>
      <c r="F163" s="5">
        <f>'ПДФО ГРОМАДИ'!N163</f>
        <v>6808.3</v>
      </c>
    </row>
    <row r="164" spans="1:6" ht="15.75" x14ac:dyDescent="0.25">
      <c r="A164" s="33" t="s">
        <v>756</v>
      </c>
      <c r="B164" s="34" t="s">
        <v>984</v>
      </c>
      <c r="C164" s="18" t="s">
        <v>61</v>
      </c>
      <c r="D164" s="32" t="s">
        <v>1232</v>
      </c>
      <c r="E164" s="5">
        <f>'ПДФО ГРОМАДИ'!M164</f>
        <v>0</v>
      </c>
      <c r="F164" s="5">
        <f>'ПДФО ГРОМАДИ'!N164</f>
        <v>7057.3</v>
      </c>
    </row>
    <row r="165" spans="1:6" ht="15.75" x14ac:dyDescent="0.25">
      <c r="A165" s="33" t="s">
        <v>756</v>
      </c>
      <c r="B165" s="34" t="s">
        <v>985</v>
      </c>
      <c r="C165" s="18" t="s">
        <v>62</v>
      </c>
      <c r="D165" s="32" t="s">
        <v>1233</v>
      </c>
      <c r="E165" s="5">
        <f>'ПДФО ГРОМАДИ'!M165</f>
        <v>86232.3</v>
      </c>
      <c r="F165" s="5">
        <f>'ПДФО ГРОМАДИ'!N165</f>
        <v>0</v>
      </c>
    </row>
    <row r="166" spans="1:6" ht="15.75" x14ac:dyDescent="0.25">
      <c r="A166" s="33" t="s">
        <v>756</v>
      </c>
      <c r="B166" s="34" t="s">
        <v>984</v>
      </c>
      <c r="C166" s="18" t="s">
        <v>282</v>
      </c>
      <c r="D166" s="32" t="s">
        <v>1234</v>
      </c>
      <c r="E166" s="5">
        <f>'ПДФО ГРОМАДИ'!M166</f>
        <v>0</v>
      </c>
      <c r="F166" s="5">
        <f>'ПДФО ГРОМАДИ'!N166</f>
        <v>3301.9</v>
      </c>
    </row>
    <row r="167" spans="1:6" ht="15.75" x14ac:dyDescent="0.25">
      <c r="A167" s="33" t="s">
        <v>756</v>
      </c>
      <c r="B167" s="34" t="s">
        <v>985</v>
      </c>
      <c r="C167" s="18" t="s">
        <v>326</v>
      </c>
      <c r="D167" s="32" t="s">
        <v>1235</v>
      </c>
      <c r="E167" s="5">
        <f>'ПДФО ГРОМАДИ'!M167</f>
        <v>0</v>
      </c>
      <c r="F167" s="5">
        <f>'ПДФО ГРОМАДИ'!N167</f>
        <v>4319.5</v>
      </c>
    </row>
    <row r="168" spans="1:6" ht="15.75" x14ac:dyDescent="0.25">
      <c r="A168" s="33" t="s">
        <v>756</v>
      </c>
      <c r="B168" s="34" t="s">
        <v>985</v>
      </c>
      <c r="C168" s="18" t="s">
        <v>327</v>
      </c>
      <c r="D168" s="32" t="s">
        <v>1236</v>
      </c>
      <c r="E168" s="5">
        <f>'ПДФО ГРОМАДИ'!M168</f>
        <v>0</v>
      </c>
      <c r="F168" s="5">
        <f>'ПДФО ГРОМАДИ'!N168</f>
        <v>21065.3</v>
      </c>
    </row>
    <row r="169" spans="1:6" ht="15.75" x14ac:dyDescent="0.25">
      <c r="A169" s="33" t="s">
        <v>756</v>
      </c>
      <c r="B169" s="34" t="s">
        <v>985</v>
      </c>
      <c r="C169" s="18" t="s">
        <v>328</v>
      </c>
      <c r="D169" s="32" t="s">
        <v>1237</v>
      </c>
      <c r="E169" s="5">
        <f>'ПДФО ГРОМАДИ'!M169</f>
        <v>0</v>
      </c>
      <c r="F169" s="5">
        <f>'ПДФО ГРОМАДИ'!N169</f>
        <v>4193.7</v>
      </c>
    </row>
    <row r="170" spans="1:6" ht="15.75" x14ac:dyDescent="0.25">
      <c r="A170" s="33" t="s">
        <v>756</v>
      </c>
      <c r="B170" s="34" t="s">
        <v>985</v>
      </c>
      <c r="C170" s="18" t="s">
        <v>329</v>
      </c>
      <c r="D170" s="32" t="s">
        <v>1238</v>
      </c>
      <c r="E170" s="5">
        <f>'ПДФО ГРОМАДИ'!M170</f>
        <v>0</v>
      </c>
      <c r="F170" s="5">
        <f>'ПДФО ГРОМАДИ'!N170</f>
        <v>6487.9</v>
      </c>
    </row>
    <row r="171" spans="1:6" ht="15.75" x14ac:dyDescent="0.25">
      <c r="A171" s="33" t="s">
        <v>756</v>
      </c>
      <c r="B171" s="34" t="s">
        <v>985</v>
      </c>
      <c r="C171" s="18" t="s">
        <v>330</v>
      </c>
      <c r="D171" s="32" t="s">
        <v>1239</v>
      </c>
      <c r="E171" s="5">
        <f>'ПДФО ГРОМАДИ'!M171</f>
        <v>0</v>
      </c>
      <c r="F171" s="5">
        <f>'ПДФО ГРОМАДИ'!N171</f>
        <v>4312.1000000000004</v>
      </c>
    </row>
    <row r="172" spans="1:6" ht="15.75" x14ac:dyDescent="0.25">
      <c r="A172" s="33" t="s">
        <v>756</v>
      </c>
      <c r="B172" s="34" t="s">
        <v>985</v>
      </c>
      <c r="C172" s="18" t="s">
        <v>331</v>
      </c>
      <c r="D172" s="32" t="s">
        <v>1240</v>
      </c>
      <c r="E172" s="5">
        <f>'ПДФО ГРОМАДИ'!M172</f>
        <v>0</v>
      </c>
      <c r="F172" s="5">
        <f>'ПДФО ГРОМАДИ'!N172</f>
        <v>12026.3</v>
      </c>
    </row>
    <row r="173" spans="1:6" ht="15.75" x14ac:dyDescent="0.25">
      <c r="A173" s="33" t="s">
        <v>756</v>
      </c>
      <c r="B173" s="34" t="s">
        <v>985</v>
      </c>
      <c r="C173" s="18" t="s">
        <v>332</v>
      </c>
      <c r="D173" s="32" t="s">
        <v>1241</v>
      </c>
      <c r="E173" s="5">
        <f>'ПДФО ГРОМАДИ'!M173</f>
        <v>0</v>
      </c>
      <c r="F173" s="5">
        <f>'ПДФО ГРОМАДИ'!N173</f>
        <v>1737.1</v>
      </c>
    </row>
    <row r="174" spans="1:6" ht="15.75" x14ac:dyDescent="0.25">
      <c r="A174" s="33" t="s">
        <v>756</v>
      </c>
      <c r="B174" s="34" t="s">
        <v>985</v>
      </c>
      <c r="C174" s="18" t="s">
        <v>333</v>
      </c>
      <c r="D174" s="32" t="s">
        <v>2825</v>
      </c>
      <c r="E174" s="5">
        <f>'ПДФО ГРОМАДИ'!M174</f>
        <v>0</v>
      </c>
      <c r="F174" s="5">
        <f>'ПДФО ГРОМАДИ'!N174</f>
        <v>3402.5</v>
      </c>
    </row>
    <row r="175" spans="1:6" ht="15.75" x14ac:dyDescent="0.25">
      <c r="A175" s="33" t="s">
        <v>756</v>
      </c>
      <c r="B175" s="34" t="s">
        <v>985</v>
      </c>
      <c r="C175" s="18" t="s">
        <v>334</v>
      </c>
      <c r="D175" s="32" t="s">
        <v>1242</v>
      </c>
      <c r="E175" s="5">
        <f>'ПДФО ГРОМАДИ'!M175</f>
        <v>0</v>
      </c>
      <c r="F175" s="5">
        <f>'ПДФО ГРОМАДИ'!N175</f>
        <v>448.9</v>
      </c>
    </row>
    <row r="176" spans="1:6" ht="15.75" x14ac:dyDescent="0.25">
      <c r="A176" s="33" t="s">
        <v>756</v>
      </c>
      <c r="B176" s="34" t="s">
        <v>985</v>
      </c>
      <c r="C176" s="18" t="s">
        <v>335</v>
      </c>
      <c r="D176" s="32" t="s">
        <v>1243</v>
      </c>
      <c r="E176" s="5">
        <f>'ПДФО ГРОМАДИ'!M176</f>
        <v>0</v>
      </c>
      <c r="F176" s="5">
        <f>'ПДФО ГРОМАДИ'!N176</f>
        <v>7890.2</v>
      </c>
    </row>
    <row r="177" spans="1:6" ht="15.75" x14ac:dyDescent="0.25">
      <c r="A177" s="33" t="s">
        <v>756</v>
      </c>
      <c r="B177" s="34" t="s">
        <v>984</v>
      </c>
      <c r="C177" s="18" t="s">
        <v>336</v>
      </c>
      <c r="D177" s="32" t="s">
        <v>1244</v>
      </c>
      <c r="E177" s="5">
        <f>'ПДФО ГРОМАДИ'!M177</f>
        <v>0</v>
      </c>
      <c r="F177" s="5">
        <f>'ПДФО ГРОМАДИ'!N177</f>
        <v>3974.1</v>
      </c>
    </row>
    <row r="178" spans="1:6" ht="15.75" x14ac:dyDescent="0.25">
      <c r="A178" s="33" t="s">
        <v>756</v>
      </c>
      <c r="B178" s="34" t="s">
        <v>984</v>
      </c>
      <c r="C178" s="18" t="s">
        <v>337</v>
      </c>
      <c r="D178" s="32" t="s">
        <v>1245</v>
      </c>
      <c r="E178" s="5">
        <f>'ПДФО ГРОМАДИ'!M178</f>
        <v>0</v>
      </c>
      <c r="F178" s="5">
        <f>'ПДФО ГРОМАДИ'!N178</f>
        <v>4780.7</v>
      </c>
    </row>
    <row r="179" spans="1:6" ht="15.75" x14ac:dyDescent="0.25">
      <c r="A179" s="33" t="s">
        <v>756</v>
      </c>
      <c r="B179" s="34" t="s">
        <v>984</v>
      </c>
      <c r="C179" s="18" t="s">
        <v>338</v>
      </c>
      <c r="D179" s="32" t="s">
        <v>1246</v>
      </c>
      <c r="E179" s="5">
        <f>'ПДФО ГРОМАДИ'!M179</f>
        <v>0</v>
      </c>
      <c r="F179" s="5">
        <f>'ПДФО ГРОМАДИ'!N179</f>
        <v>15308.5</v>
      </c>
    </row>
    <row r="180" spans="1:6" ht="15.75" x14ac:dyDescent="0.25">
      <c r="A180" s="33" t="s">
        <v>756</v>
      </c>
      <c r="B180" s="34" t="s">
        <v>984</v>
      </c>
      <c r="C180" s="18" t="s">
        <v>339</v>
      </c>
      <c r="D180" s="32" t="s">
        <v>1247</v>
      </c>
      <c r="E180" s="5">
        <f>'ПДФО ГРОМАДИ'!M180</f>
        <v>0</v>
      </c>
      <c r="F180" s="5">
        <f>'ПДФО ГРОМАДИ'!N180</f>
        <v>1681.7</v>
      </c>
    </row>
    <row r="181" spans="1:6" ht="15.75" x14ac:dyDescent="0.25">
      <c r="A181" s="33" t="s">
        <v>756</v>
      </c>
      <c r="B181" s="34" t="s">
        <v>984</v>
      </c>
      <c r="C181" s="18" t="s">
        <v>340</v>
      </c>
      <c r="D181" s="32" t="s">
        <v>1248</v>
      </c>
      <c r="E181" s="5">
        <f>'ПДФО ГРОМАДИ'!M181</f>
        <v>0</v>
      </c>
      <c r="F181" s="5">
        <f>'ПДФО ГРОМАДИ'!N181</f>
        <v>2242.5</v>
      </c>
    </row>
    <row r="182" spans="1:6" ht="15.75" x14ac:dyDescent="0.25">
      <c r="A182" s="33" t="s">
        <v>756</v>
      </c>
      <c r="B182" s="34" t="s">
        <v>984</v>
      </c>
      <c r="C182" s="30" t="s">
        <v>2819</v>
      </c>
      <c r="D182" s="32" t="s">
        <v>1249</v>
      </c>
      <c r="E182" s="5">
        <f>'ПДФО ГРОМАДИ'!M182</f>
        <v>0</v>
      </c>
      <c r="F182" s="5">
        <f>'ПДФО ГРОМАДИ'!N182</f>
        <v>8452.2999999999993</v>
      </c>
    </row>
    <row r="183" spans="1:6" ht="15.75" x14ac:dyDescent="0.25">
      <c r="A183" s="33" t="s">
        <v>756</v>
      </c>
      <c r="B183" s="34" t="s">
        <v>983</v>
      </c>
      <c r="C183" s="30" t="s">
        <v>533</v>
      </c>
      <c r="D183" s="32" t="s">
        <v>1250</v>
      </c>
      <c r="E183" s="5">
        <f>'ПДФО ГРОМАДИ'!M183</f>
        <v>0</v>
      </c>
      <c r="F183" s="5">
        <f>'ПДФО ГРОМАДИ'!N183</f>
        <v>13825.2</v>
      </c>
    </row>
    <row r="184" spans="1:6" ht="15.75" x14ac:dyDescent="0.25">
      <c r="A184" s="33" t="s">
        <v>756</v>
      </c>
      <c r="B184" s="34" t="s">
        <v>985</v>
      </c>
      <c r="C184" s="18" t="s">
        <v>534</v>
      </c>
      <c r="D184" s="32" t="s">
        <v>1251</v>
      </c>
      <c r="E184" s="5">
        <f>'ПДФО ГРОМАДИ'!M184</f>
        <v>0</v>
      </c>
      <c r="F184" s="5">
        <f>'ПДФО ГРОМАДИ'!N184</f>
        <v>7415.3</v>
      </c>
    </row>
    <row r="185" spans="1:6" ht="15.75" x14ac:dyDescent="0.25">
      <c r="A185" s="33" t="s">
        <v>756</v>
      </c>
      <c r="B185" s="34" t="s">
        <v>984</v>
      </c>
      <c r="C185" s="18" t="s">
        <v>535</v>
      </c>
      <c r="D185" s="32" t="s">
        <v>2739</v>
      </c>
      <c r="E185" s="5">
        <f>'ПДФО ГРОМАДИ'!M185</f>
        <v>8194.2000000000007</v>
      </c>
      <c r="F185" s="5">
        <f>'ПДФО ГРОМАДИ'!N185</f>
        <v>0</v>
      </c>
    </row>
    <row r="186" spans="1:6" ht="15.75" x14ac:dyDescent="0.25">
      <c r="A186" s="33" t="s">
        <v>756</v>
      </c>
      <c r="B186" s="34" t="s">
        <v>985</v>
      </c>
      <c r="C186" s="18" t="s">
        <v>536</v>
      </c>
      <c r="D186" s="32" t="s">
        <v>1252</v>
      </c>
      <c r="E186" s="5">
        <f>'ПДФО ГРОМАДИ'!M186</f>
        <v>0</v>
      </c>
      <c r="F186" s="5">
        <f>'ПДФО ГРОМАДИ'!N186</f>
        <v>9270.2999999999993</v>
      </c>
    </row>
    <row r="187" spans="1:6" ht="15.75" x14ac:dyDescent="0.25">
      <c r="A187" s="33" t="s">
        <v>756</v>
      </c>
      <c r="B187" s="34" t="s">
        <v>984</v>
      </c>
      <c r="C187" s="18" t="s">
        <v>1253</v>
      </c>
      <c r="D187" s="32" t="s">
        <v>2740</v>
      </c>
      <c r="E187" s="5">
        <f>'ПДФО ГРОМАДИ'!M187</f>
        <v>0</v>
      </c>
      <c r="F187" s="5">
        <f>'ПДФО ГРОМАДИ'!N187</f>
        <v>6532.7</v>
      </c>
    </row>
    <row r="188" spans="1:6" ht="15.75" x14ac:dyDescent="0.25">
      <c r="A188" s="33" t="s">
        <v>756</v>
      </c>
      <c r="B188" s="34" t="s">
        <v>984</v>
      </c>
      <c r="C188" s="18" t="s">
        <v>537</v>
      </c>
      <c r="D188" s="32" t="s">
        <v>1254</v>
      </c>
      <c r="E188" s="5">
        <f>'ПДФО ГРОМАДИ'!M188</f>
        <v>29803.4</v>
      </c>
      <c r="F188" s="5">
        <f>'ПДФО ГРОМАДИ'!N188</f>
        <v>0</v>
      </c>
    </row>
    <row r="189" spans="1:6" ht="15.75" x14ac:dyDescent="0.25">
      <c r="A189" s="33" t="s">
        <v>756</v>
      </c>
      <c r="B189" s="34" t="s">
        <v>985</v>
      </c>
      <c r="C189" s="18" t="s">
        <v>538</v>
      </c>
      <c r="D189" s="32" t="s">
        <v>1255</v>
      </c>
      <c r="E189" s="5">
        <f>'ПДФО ГРОМАДИ'!M189</f>
        <v>1201.8</v>
      </c>
      <c r="F189" s="5">
        <f>'ПДФО ГРОМАДИ'!N189</f>
        <v>0</v>
      </c>
    </row>
    <row r="190" spans="1:6" ht="15.75" x14ac:dyDescent="0.25">
      <c r="A190" s="33" t="s">
        <v>756</v>
      </c>
      <c r="B190" s="34" t="s">
        <v>984</v>
      </c>
      <c r="C190" s="18" t="s">
        <v>539</v>
      </c>
      <c r="D190" s="32" t="s">
        <v>2318</v>
      </c>
      <c r="E190" s="5">
        <f>'ПДФО ГРОМАДИ'!M190</f>
        <v>9208.2000000000007</v>
      </c>
      <c r="F190" s="5">
        <f>'ПДФО ГРОМАДИ'!N190</f>
        <v>0</v>
      </c>
    </row>
    <row r="191" spans="1:6" ht="15.75" x14ac:dyDescent="0.25">
      <c r="A191" s="33" t="s">
        <v>756</v>
      </c>
      <c r="B191" s="34" t="s">
        <v>984</v>
      </c>
      <c r="C191" s="18" t="s">
        <v>540</v>
      </c>
      <c r="D191" s="32" t="s">
        <v>1256</v>
      </c>
      <c r="E191" s="5">
        <f>'ПДФО ГРОМАДИ'!M191</f>
        <v>2196.8000000000002</v>
      </c>
      <c r="F191" s="5">
        <f>'ПДФО ГРОМАДИ'!N191</f>
        <v>0</v>
      </c>
    </row>
    <row r="192" spans="1:6" ht="15.75" x14ac:dyDescent="0.25">
      <c r="A192" s="33" t="s">
        <v>756</v>
      </c>
      <c r="B192" s="34" t="s">
        <v>984</v>
      </c>
      <c r="C192" s="18" t="s">
        <v>541</v>
      </c>
      <c r="D192" s="32" t="s">
        <v>1257</v>
      </c>
      <c r="E192" s="5">
        <f>'ПДФО ГРОМАДИ'!M192</f>
        <v>0</v>
      </c>
      <c r="F192" s="5">
        <f>'ПДФО ГРОМАДИ'!N192</f>
        <v>1751.9</v>
      </c>
    </row>
    <row r="193" spans="1:6" ht="15.75" x14ac:dyDescent="0.25">
      <c r="A193" s="33" t="s">
        <v>756</v>
      </c>
      <c r="B193" s="34" t="s">
        <v>985</v>
      </c>
      <c r="C193" s="18" t="s">
        <v>542</v>
      </c>
      <c r="D193" s="32" t="s">
        <v>1258</v>
      </c>
      <c r="E193" s="5">
        <f>'ПДФО ГРОМАДИ'!M193</f>
        <v>0</v>
      </c>
      <c r="F193" s="5">
        <f>'ПДФО ГРОМАДИ'!N193</f>
        <v>14043.5</v>
      </c>
    </row>
    <row r="194" spans="1:6" ht="15.75" x14ac:dyDescent="0.25">
      <c r="A194" s="33" t="s">
        <v>756</v>
      </c>
      <c r="B194" s="34" t="s">
        <v>985</v>
      </c>
      <c r="C194" s="18" t="s">
        <v>543</v>
      </c>
      <c r="D194" s="32" t="s">
        <v>1259</v>
      </c>
      <c r="E194" s="5">
        <f>'ПДФО ГРОМАДИ'!M194</f>
        <v>0</v>
      </c>
      <c r="F194" s="5">
        <f>'ПДФО ГРОМАДИ'!N194</f>
        <v>1259.2</v>
      </c>
    </row>
    <row r="195" spans="1:6" ht="15.75" x14ac:dyDescent="0.25">
      <c r="A195" s="33" t="s">
        <v>756</v>
      </c>
      <c r="B195" s="34" t="s">
        <v>984</v>
      </c>
      <c r="C195" s="18" t="s">
        <v>544</v>
      </c>
      <c r="D195" s="32" t="s">
        <v>1260</v>
      </c>
      <c r="E195" s="5">
        <f>'ПДФО ГРОМАДИ'!M195</f>
        <v>0</v>
      </c>
      <c r="F195" s="5">
        <f>'ПДФО ГРОМАДИ'!N195</f>
        <v>2787.9</v>
      </c>
    </row>
    <row r="196" spans="1:6" ht="15.75" x14ac:dyDescent="0.25">
      <c r="A196" s="33" t="s">
        <v>756</v>
      </c>
      <c r="B196" s="34" t="s">
        <v>984</v>
      </c>
      <c r="C196" s="18" t="s">
        <v>545</v>
      </c>
      <c r="D196" s="32" t="s">
        <v>1261</v>
      </c>
      <c r="E196" s="5">
        <f>'ПДФО ГРОМАДИ'!M196</f>
        <v>11964.3</v>
      </c>
      <c r="F196" s="5">
        <f>'ПДФО ГРОМАДИ'!N196</f>
        <v>0</v>
      </c>
    </row>
    <row r="197" spans="1:6" ht="15.75" x14ac:dyDescent="0.25">
      <c r="A197" s="33" t="s">
        <v>756</v>
      </c>
      <c r="B197" s="34" t="s">
        <v>985</v>
      </c>
      <c r="C197" s="18" t="s">
        <v>546</v>
      </c>
      <c r="D197" s="32" t="s">
        <v>1262</v>
      </c>
      <c r="E197" s="5">
        <f>'ПДФО ГРОМАДИ'!M197</f>
        <v>0</v>
      </c>
      <c r="F197" s="5">
        <f>'ПДФО ГРОМАДИ'!N197</f>
        <v>0</v>
      </c>
    </row>
    <row r="198" spans="1:6" ht="15.75" x14ac:dyDescent="0.25">
      <c r="A198" s="33" t="s">
        <v>756</v>
      </c>
      <c r="B198" s="34" t="s">
        <v>985</v>
      </c>
      <c r="C198" s="18" t="s">
        <v>547</v>
      </c>
      <c r="D198" s="32" t="s">
        <v>1263</v>
      </c>
      <c r="E198" s="5">
        <f>'ПДФО ГРОМАДИ'!M198</f>
        <v>0</v>
      </c>
      <c r="F198" s="5">
        <f>'ПДФО ГРОМАДИ'!N198</f>
        <v>0</v>
      </c>
    </row>
    <row r="199" spans="1:6" ht="15.75" x14ac:dyDescent="0.25">
      <c r="A199" s="33" t="s">
        <v>756</v>
      </c>
      <c r="B199" s="34" t="s">
        <v>984</v>
      </c>
      <c r="C199" s="18" t="s">
        <v>548</v>
      </c>
      <c r="D199" s="32" t="s">
        <v>1264</v>
      </c>
      <c r="E199" s="5">
        <f>'ПДФО ГРОМАДИ'!M199</f>
        <v>0</v>
      </c>
      <c r="F199" s="5">
        <f>'ПДФО ГРОМАДИ'!N199</f>
        <v>2576.5</v>
      </c>
    </row>
    <row r="200" spans="1:6" ht="15.75" x14ac:dyDescent="0.25">
      <c r="A200" s="33" t="s">
        <v>756</v>
      </c>
      <c r="B200" s="34" t="s">
        <v>984</v>
      </c>
      <c r="C200" s="18" t="s">
        <v>677</v>
      </c>
      <c r="D200" s="32" t="s">
        <v>1265</v>
      </c>
      <c r="E200" s="5">
        <f>'ПДФО ГРОМАДИ'!M200</f>
        <v>0</v>
      </c>
      <c r="F200" s="5">
        <f>'ПДФО ГРОМАДИ'!N200</f>
        <v>1701</v>
      </c>
    </row>
    <row r="201" spans="1:6" ht="15.75" x14ac:dyDescent="0.25">
      <c r="A201" s="33" t="s">
        <v>756</v>
      </c>
      <c r="B201" s="34" t="s">
        <v>984</v>
      </c>
      <c r="C201" s="18" t="s">
        <v>678</v>
      </c>
      <c r="D201" s="32" t="s">
        <v>1266</v>
      </c>
      <c r="E201" s="5">
        <f>'ПДФО ГРОМАДИ'!M201</f>
        <v>0</v>
      </c>
      <c r="F201" s="5">
        <f>'ПДФО ГРОМАДИ'!N201</f>
        <v>4104.1000000000004</v>
      </c>
    </row>
    <row r="202" spans="1:6" ht="15.75" x14ac:dyDescent="0.25">
      <c r="A202" s="33" t="s">
        <v>756</v>
      </c>
      <c r="B202" s="34" t="s">
        <v>984</v>
      </c>
      <c r="C202" s="18" t="s">
        <v>679</v>
      </c>
      <c r="D202" s="32" t="s">
        <v>1267</v>
      </c>
      <c r="E202" s="5">
        <f>'ПДФО ГРОМАДИ'!M202</f>
        <v>0</v>
      </c>
      <c r="F202" s="5">
        <f>'ПДФО ГРОМАДИ'!N202</f>
        <v>2281.1</v>
      </c>
    </row>
    <row r="203" spans="1:6" ht="15.75" x14ac:dyDescent="0.25">
      <c r="A203" s="35" t="s">
        <v>756</v>
      </c>
      <c r="B203" s="34" t="s">
        <v>984</v>
      </c>
      <c r="C203" s="30" t="s">
        <v>733</v>
      </c>
      <c r="D203" s="32" t="s">
        <v>1268</v>
      </c>
      <c r="E203" s="5">
        <f>'ПДФО ГРОМАДИ'!M203</f>
        <v>0</v>
      </c>
      <c r="F203" s="5">
        <f>'ПДФО ГРОМАДИ'!N203</f>
        <v>1286.7</v>
      </c>
    </row>
    <row r="204" spans="1:6" ht="15.75" x14ac:dyDescent="0.25">
      <c r="A204" s="35" t="s">
        <v>756</v>
      </c>
      <c r="B204" s="34" t="s">
        <v>983</v>
      </c>
      <c r="C204" s="30" t="s">
        <v>734</v>
      </c>
      <c r="D204" s="32" t="s">
        <v>1269</v>
      </c>
      <c r="E204" s="5">
        <f>'ПДФО ГРОМАДИ'!M204</f>
        <v>0</v>
      </c>
      <c r="F204" s="5">
        <f>'ПДФО ГРОМАДИ'!N204</f>
        <v>11663.9</v>
      </c>
    </row>
    <row r="205" spans="1:6" s="75" customFormat="1" ht="15.75" x14ac:dyDescent="0.25">
      <c r="A205" s="35" t="s">
        <v>756</v>
      </c>
      <c r="B205" s="34" t="s">
        <v>984</v>
      </c>
      <c r="C205" s="30" t="s">
        <v>760</v>
      </c>
      <c r="D205" s="32" t="s">
        <v>1270</v>
      </c>
      <c r="E205" s="5">
        <f>'ПДФО ГРОМАДИ'!M205</f>
        <v>0</v>
      </c>
      <c r="F205" s="5">
        <f>'ПДФО ГРОМАДИ'!N205</f>
        <v>1175</v>
      </c>
    </row>
    <row r="206" spans="1:6" ht="15.75" x14ac:dyDescent="0.25">
      <c r="A206" s="35" t="s">
        <v>756</v>
      </c>
      <c r="B206" s="34" t="s">
        <v>984</v>
      </c>
      <c r="C206" s="30" t="s">
        <v>830</v>
      </c>
      <c r="D206" s="32" t="s">
        <v>1271</v>
      </c>
      <c r="E206" s="5">
        <f>'ПДФО ГРОМАДИ'!M206</f>
        <v>11090.6</v>
      </c>
      <c r="F206" s="5">
        <f>'ПДФО ГРОМАДИ'!N206</f>
        <v>0</v>
      </c>
    </row>
    <row r="207" spans="1:6" ht="15.75" x14ac:dyDescent="0.25">
      <c r="A207" s="35" t="s">
        <v>756</v>
      </c>
      <c r="B207" s="34" t="s">
        <v>986</v>
      </c>
      <c r="C207" s="30" t="s">
        <v>973</v>
      </c>
      <c r="D207" s="32" t="s">
        <v>1272</v>
      </c>
      <c r="E207" s="5">
        <f>'ПДФО ГРОМАДИ'!M207</f>
        <v>0</v>
      </c>
      <c r="F207" s="5">
        <f>'ПДФО ГРОМАДИ'!N207</f>
        <v>26345.5</v>
      </c>
    </row>
    <row r="208" spans="1:6" ht="15.75" x14ac:dyDescent="0.25">
      <c r="A208" s="35" t="s">
        <v>756</v>
      </c>
      <c r="B208" s="34" t="s">
        <v>986</v>
      </c>
      <c r="C208" s="30" t="s">
        <v>974</v>
      </c>
      <c r="D208" s="32" t="s">
        <v>1273</v>
      </c>
      <c r="E208" s="5">
        <f>'ПДФО ГРОМАДИ'!M208</f>
        <v>0</v>
      </c>
      <c r="F208" s="5">
        <f>'ПДФО ГРОМАДИ'!N208</f>
        <v>4020.4</v>
      </c>
    </row>
    <row r="209" spans="1:6" ht="15.75" x14ac:dyDescent="0.25">
      <c r="A209" s="35" t="s">
        <v>756</v>
      </c>
      <c r="B209" s="34" t="s">
        <v>984</v>
      </c>
      <c r="C209" s="30" t="s">
        <v>1029</v>
      </c>
      <c r="D209" s="32" t="s">
        <v>1274</v>
      </c>
      <c r="E209" s="5">
        <f>'ПДФО ГРОМАДИ'!M209</f>
        <v>4294.3999999999996</v>
      </c>
      <c r="F209" s="5">
        <f>'ПДФО ГРОМАДИ'!N209</f>
        <v>0</v>
      </c>
    </row>
    <row r="210" spans="1:6" ht="15.75" x14ac:dyDescent="0.25">
      <c r="A210" s="35" t="s">
        <v>756</v>
      </c>
      <c r="B210" s="34" t="s">
        <v>984</v>
      </c>
      <c r="C210" s="30" t="s">
        <v>1030</v>
      </c>
      <c r="D210" s="32" t="s">
        <v>1275</v>
      </c>
      <c r="E210" s="5">
        <f>'ПДФО ГРОМАДИ'!M210</f>
        <v>0</v>
      </c>
      <c r="F210" s="5">
        <f>'ПДФО ГРОМАДИ'!N210</f>
        <v>2488</v>
      </c>
    </row>
    <row r="211" spans="1:6" ht="15.75" x14ac:dyDescent="0.25">
      <c r="A211" s="35" t="s">
        <v>756</v>
      </c>
      <c r="B211" s="34" t="s">
        <v>985</v>
      </c>
      <c r="C211" s="30" t="s">
        <v>1031</v>
      </c>
      <c r="D211" s="32" t="s">
        <v>1276</v>
      </c>
      <c r="E211" s="5">
        <f>'ПДФО ГРОМАДИ'!M211</f>
        <v>0</v>
      </c>
      <c r="F211" s="5">
        <f>'ПДФО ГРОМАДИ'!N211</f>
        <v>2169.4</v>
      </c>
    </row>
    <row r="212" spans="1:6" ht="15.75" x14ac:dyDescent="0.25">
      <c r="A212" s="35" t="s">
        <v>756</v>
      </c>
      <c r="B212" s="34" t="s">
        <v>985</v>
      </c>
      <c r="C212" s="30" t="s">
        <v>1032</v>
      </c>
      <c r="D212" s="32" t="s">
        <v>1277</v>
      </c>
      <c r="E212" s="5">
        <f>'ПДФО ГРОМАДИ'!M212</f>
        <v>0</v>
      </c>
      <c r="F212" s="5">
        <f>'ПДФО ГРОМАДИ'!N212</f>
        <v>16850</v>
      </c>
    </row>
    <row r="213" spans="1:6" ht="15.75" x14ac:dyDescent="0.25">
      <c r="A213" s="35" t="s">
        <v>756</v>
      </c>
      <c r="B213" s="34" t="s">
        <v>984</v>
      </c>
      <c r="C213" s="30" t="s">
        <v>1033</v>
      </c>
      <c r="D213" s="32" t="s">
        <v>1278</v>
      </c>
      <c r="E213" s="5">
        <f>'ПДФО ГРОМАДИ'!M213</f>
        <v>0</v>
      </c>
      <c r="F213" s="5">
        <f>'ПДФО ГРОМАДИ'!N213</f>
        <v>6268.9</v>
      </c>
    </row>
    <row r="214" spans="1:6" ht="15.75" x14ac:dyDescent="0.25">
      <c r="A214" s="35" t="s">
        <v>756</v>
      </c>
      <c r="B214" s="34" t="s">
        <v>983</v>
      </c>
      <c r="C214" s="30" t="s">
        <v>1034</v>
      </c>
      <c r="D214" s="32" t="s">
        <v>1279</v>
      </c>
      <c r="E214" s="5">
        <f>'ПДФО ГРОМАДИ'!M214</f>
        <v>0</v>
      </c>
      <c r="F214" s="5">
        <f>'ПДФО ГРОМАДИ'!N214</f>
        <v>25164.3</v>
      </c>
    </row>
    <row r="215" spans="1:6" ht="15.75" x14ac:dyDescent="0.25">
      <c r="A215" s="35" t="s">
        <v>756</v>
      </c>
      <c r="B215" s="34" t="s">
        <v>985</v>
      </c>
      <c r="C215" s="30" t="s">
        <v>1035</v>
      </c>
      <c r="D215" s="32" t="s">
        <v>1280</v>
      </c>
      <c r="E215" s="5">
        <f>'ПДФО ГРОМАДИ'!M215</f>
        <v>77103</v>
      </c>
      <c r="F215" s="5">
        <f>'ПДФО ГРОМАДИ'!N215</f>
        <v>0</v>
      </c>
    </row>
    <row r="216" spans="1:6" ht="15.75" x14ac:dyDescent="0.25">
      <c r="A216" s="35" t="s">
        <v>756</v>
      </c>
      <c r="B216" s="34" t="s">
        <v>986</v>
      </c>
      <c r="C216" s="30" t="s">
        <v>1058</v>
      </c>
      <c r="D216" s="32" t="s">
        <v>1281</v>
      </c>
      <c r="E216" s="5">
        <f>'ПДФО ГРОМАДИ'!M216</f>
        <v>0</v>
      </c>
      <c r="F216" s="5">
        <f>'ПДФО ГРОМАДИ'!N216</f>
        <v>0</v>
      </c>
    </row>
    <row r="217" spans="1:6" ht="15.75" x14ac:dyDescent="0.25">
      <c r="A217" s="35" t="s">
        <v>756</v>
      </c>
      <c r="B217" s="34" t="s">
        <v>984</v>
      </c>
      <c r="C217" s="30" t="s">
        <v>1282</v>
      </c>
      <c r="D217" s="80" t="s">
        <v>1283</v>
      </c>
      <c r="E217" s="5">
        <f>'ПДФО ГРОМАДИ'!M217</f>
        <v>0</v>
      </c>
      <c r="F217" s="5">
        <f>'ПДФО ГРОМАДИ'!N217</f>
        <v>4100.1000000000004</v>
      </c>
    </row>
    <row r="218" spans="1:6" ht="15.75" x14ac:dyDescent="0.25">
      <c r="A218" s="35" t="s">
        <v>756</v>
      </c>
      <c r="B218" s="34" t="s">
        <v>983</v>
      </c>
      <c r="C218" s="30" t="s">
        <v>1284</v>
      </c>
      <c r="D218" s="80" t="s">
        <v>1285</v>
      </c>
      <c r="E218" s="5">
        <f>'ПДФО ГРОМАДИ'!M218</f>
        <v>0</v>
      </c>
      <c r="F218" s="5">
        <f>'ПДФО ГРОМАДИ'!N218</f>
        <v>2472.1</v>
      </c>
    </row>
    <row r="219" spans="1:6" ht="15.75" x14ac:dyDescent="0.25">
      <c r="A219" s="35" t="s">
        <v>756</v>
      </c>
      <c r="B219" s="34" t="s">
        <v>986</v>
      </c>
      <c r="C219" s="30" t="s">
        <v>1286</v>
      </c>
      <c r="D219" s="80" t="s">
        <v>1287</v>
      </c>
      <c r="E219" s="5">
        <f>'ПДФО ГРОМАДИ'!M219</f>
        <v>12719.3</v>
      </c>
      <c r="F219" s="5">
        <f>'ПДФО ГРОМАДИ'!N219</f>
        <v>0</v>
      </c>
    </row>
    <row r="220" spans="1:6" ht="15.75" x14ac:dyDescent="0.25">
      <c r="A220" s="35" t="s">
        <v>756</v>
      </c>
      <c r="B220" s="34" t="s">
        <v>985</v>
      </c>
      <c r="C220" s="30" t="s">
        <v>1288</v>
      </c>
      <c r="D220" s="80" t="s">
        <v>1289</v>
      </c>
      <c r="E220" s="5">
        <f>'ПДФО ГРОМАДИ'!M220</f>
        <v>0</v>
      </c>
      <c r="F220" s="5">
        <f>'ПДФО ГРОМАДИ'!N220</f>
        <v>0</v>
      </c>
    </row>
    <row r="221" spans="1:6" ht="15.75" x14ac:dyDescent="0.25">
      <c r="A221" s="35" t="s">
        <v>756</v>
      </c>
      <c r="B221" s="34" t="s">
        <v>986</v>
      </c>
      <c r="C221" s="30" t="s">
        <v>1290</v>
      </c>
      <c r="D221" s="80" t="s">
        <v>1291</v>
      </c>
      <c r="E221" s="5">
        <f>'ПДФО ГРОМАДИ'!M221</f>
        <v>1184808</v>
      </c>
      <c r="F221" s="5">
        <f>'ПДФО ГРОМАДИ'!N221</f>
        <v>0</v>
      </c>
    </row>
    <row r="222" spans="1:6" ht="15.75" x14ac:dyDescent="0.25">
      <c r="A222" s="35" t="s">
        <v>756</v>
      </c>
      <c r="B222" s="34" t="s">
        <v>986</v>
      </c>
      <c r="C222" s="30" t="s">
        <v>1292</v>
      </c>
      <c r="D222" s="80" t="s">
        <v>1293</v>
      </c>
      <c r="E222" s="5">
        <f>'ПДФО ГРОМАДИ'!M222</f>
        <v>0</v>
      </c>
      <c r="F222" s="5">
        <f>'ПДФО ГРОМАДИ'!N222</f>
        <v>3373.6</v>
      </c>
    </row>
    <row r="223" spans="1:6" ht="15.75" x14ac:dyDescent="0.25">
      <c r="A223" s="35" t="s">
        <v>756</v>
      </c>
      <c r="B223" s="34" t="s">
        <v>986</v>
      </c>
      <c r="C223" s="30" t="s">
        <v>1294</v>
      </c>
      <c r="D223" s="80" t="s">
        <v>1295</v>
      </c>
      <c r="E223" s="5">
        <f>'ПДФО ГРОМАДИ'!M223</f>
        <v>461501.3</v>
      </c>
      <c r="F223" s="5">
        <f>'ПДФО ГРОМАДИ'!N223</f>
        <v>0</v>
      </c>
    </row>
    <row r="224" spans="1:6" ht="15.75" x14ac:dyDescent="0.25">
      <c r="A224" s="35" t="s">
        <v>756</v>
      </c>
      <c r="B224" s="34" t="s">
        <v>984</v>
      </c>
      <c r="C224" s="30" t="s">
        <v>1296</v>
      </c>
      <c r="D224" s="80" t="s">
        <v>1297</v>
      </c>
      <c r="E224" s="5">
        <f>'ПДФО ГРОМАДИ'!M224</f>
        <v>0</v>
      </c>
      <c r="F224" s="5">
        <f>'ПДФО ГРОМАДИ'!N224</f>
        <v>7247.6</v>
      </c>
    </row>
    <row r="225" spans="1:6" ht="15.75" x14ac:dyDescent="0.25">
      <c r="A225" s="35" t="s">
        <v>756</v>
      </c>
      <c r="B225" s="34" t="s">
        <v>984</v>
      </c>
      <c r="C225" s="30" t="s">
        <v>1298</v>
      </c>
      <c r="D225" s="80" t="s">
        <v>1299</v>
      </c>
      <c r="E225" s="5">
        <f>'ПДФО ГРОМАДИ'!M225</f>
        <v>0</v>
      </c>
      <c r="F225" s="5">
        <f>'ПДФО ГРОМАДИ'!N225</f>
        <v>2949.2</v>
      </c>
    </row>
    <row r="226" spans="1:6" ht="15.75" x14ac:dyDescent="0.25">
      <c r="A226" s="35" t="s">
        <v>756</v>
      </c>
      <c r="B226" s="34" t="s">
        <v>986</v>
      </c>
      <c r="C226" s="30" t="s">
        <v>1300</v>
      </c>
      <c r="D226" s="80" t="s">
        <v>1301</v>
      </c>
      <c r="E226" s="5">
        <f>'ПДФО ГРОМАДИ'!M226</f>
        <v>30648.2</v>
      </c>
      <c r="F226" s="5">
        <f>'ПДФО ГРОМАДИ'!N226</f>
        <v>0</v>
      </c>
    </row>
    <row r="227" spans="1:6" ht="15.75" x14ac:dyDescent="0.25">
      <c r="A227" s="35" t="s">
        <v>756</v>
      </c>
      <c r="B227" s="34" t="s">
        <v>986</v>
      </c>
      <c r="C227" s="30" t="s">
        <v>1302</v>
      </c>
      <c r="D227" s="80" t="s">
        <v>1303</v>
      </c>
      <c r="E227" s="5">
        <f>'ПДФО ГРОМАДИ'!M227</f>
        <v>0</v>
      </c>
      <c r="F227" s="5">
        <f>'ПДФО ГРОМАДИ'!N227</f>
        <v>40454.5</v>
      </c>
    </row>
    <row r="228" spans="1:6" ht="15.75" x14ac:dyDescent="0.25">
      <c r="A228" s="35" t="s">
        <v>756</v>
      </c>
      <c r="B228" s="34" t="s">
        <v>984</v>
      </c>
      <c r="C228" s="30" t="s">
        <v>1304</v>
      </c>
      <c r="D228" s="80" t="s">
        <v>1305</v>
      </c>
      <c r="E228" s="5">
        <f>'ПДФО ГРОМАДИ'!M228</f>
        <v>0</v>
      </c>
      <c r="F228" s="5">
        <f>'ПДФО ГРОМАДИ'!N228</f>
        <v>3879.4</v>
      </c>
    </row>
    <row r="229" spans="1:6" ht="15.75" x14ac:dyDescent="0.25">
      <c r="A229" s="35" t="s">
        <v>756</v>
      </c>
      <c r="B229" s="34" t="s">
        <v>986</v>
      </c>
      <c r="C229" s="30" t="s">
        <v>1306</v>
      </c>
      <c r="D229" s="80" t="s">
        <v>1307</v>
      </c>
      <c r="E229" s="5">
        <f>'ПДФО ГРОМАДИ'!M229</f>
        <v>0</v>
      </c>
      <c r="F229" s="5">
        <f>'ПДФО ГРОМАДИ'!N229</f>
        <v>9093.7000000000007</v>
      </c>
    </row>
    <row r="230" spans="1:6" ht="15.75" x14ac:dyDescent="0.25">
      <c r="A230" s="35" t="s">
        <v>756</v>
      </c>
      <c r="B230" s="34" t="s">
        <v>986</v>
      </c>
      <c r="C230" s="30" t="s">
        <v>1308</v>
      </c>
      <c r="D230" s="80" t="s">
        <v>1309</v>
      </c>
      <c r="E230" s="5">
        <f>'ПДФО ГРОМАДИ'!M230</f>
        <v>11144.6</v>
      </c>
      <c r="F230" s="5">
        <f>'ПДФО ГРОМАДИ'!N230</f>
        <v>0</v>
      </c>
    </row>
    <row r="231" spans="1:6" ht="15.75" x14ac:dyDescent="0.25">
      <c r="A231" s="35" t="s">
        <v>756</v>
      </c>
      <c r="B231" s="34" t="s">
        <v>985</v>
      </c>
      <c r="C231" s="30" t="s">
        <v>1310</v>
      </c>
      <c r="D231" s="80" t="s">
        <v>1311</v>
      </c>
      <c r="E231" s="5">
        <f>'ПДФО ГРОМАДИ'!M231</f>
        <v>0</v>
      </c>
      <c r="F231" s="5">
        <f>'ПДФО ГРОМАДИ'!N231</f>
        <v>3577.1</v>
      </c>
    </row>
    <row r="232" spans="1:6" ht="15.75" x14ac:dyDescent="0.25">
      <c r="A232" s="35" t="s">
        <v>756</v>
      </c>
      <c r="B232" s="34" t="s">
        <v>984</v>
      </c>
      <c r="C232" s="30" t="s">
        <v>1312</v>
      </c>
      <c r="D232" s="80" t="s">
        <v>1313</v>
      </c>
      <c r="E232" s="5">
        <f>'ПДФО ГРОМАДИ'!M232</f>
        <v>0</v>
      </c>
      <c r="F232" s="5">
        <f>'ПДФО ГРОМАДИ'!N232</f>
        <v>12224.3</v>
      </c>
    </row>
    <row r="233" spans="1:6" ht="15.75" x14ac:dyDescent="0.25">
      <c r="A233" s="35" t="s">
        <v>756</v>
      </c>
      <c r="B233" s="34" t="s">
        <v>983</v>
      </c>
      <c r="C233" s="30" t="s">
        <v>1314</v>
      </c>
      <c r="D233" s="80" t="s">
        <v>1315</v>
      </c>
      <c r="E233" s="5">
        <f>'ПДФО ГРОМАДИ'!M233</f>
        <v>0</v>
      </c>
      <c r="F233" s="5">
        <f>'ПДФО ГРОМАДИ'!N233</f>
        <v>7076.2</v>
      </c>
    </row>
    <row r="234" spans="1:6" ht="15.75" x14ac:dyDescent="0.25">
      <c r="A234" s="35" t="s">
        <v>756</v>
      </c>
      <c r="B234" s="34" t="s">
        <v>986</v>
      </c>
      <c r="C234" s="30" t="s">
        <v>1316</v>
      </c>
      <c r="D234" s="80" t="s">
        <v>1317</v>
      </c>
      <c r="E234" s="5">
        <f>'ПДФО ГРОМАДИ'!M234</f>
        <v>0</v>
      </c>
      <c r="F234" s="5">
        <f>'ПДФО ГРОМАДИ'!N234</f>
        <v>6491.5</v>
      </c>
    </row>
    <row r="235" spans="1:6" ht="15.75" x14ac:dyDescent="0.25">
      <c r="A235" s="35" t="s">
        <v>756</v>
      </c>
      <c r="B235" s="34" t="s">
        <v>984</v>
      </c>
      <c r="C235" s="30" t="s">
        <v>1318</v>
      </c>
      <c r="D235" s="80" t="s">
        <v>1319</v>
      </c>
      <c r="E235" s="5">
        <f>'ПДФО ГРОМАДИ'!M235</f>
        <v>0</v>
      </c>
      <c r="F235" s="5">
        <f>'ПДФО ГРОМАДИ'!N235</f>
        <v>124.4</v>
      </c>
    </row>
    <row r="236" spans="1:6" ht="15.75" x14ac:dyDescent="0.25">
      <c r="A236" s="35" t="s">
        <v>756</v>
      </c>
      <c r="B236" s="34" t="s">
        <v>986</v>
      </c>
      <c r="C236" s="30" t="s">
        <v>1320</v>
      </c>
      <c r="D236" s="80" t="s">
        <v>1321</v>
      </c>
      <c r="E236" s="5">
        <f>'ПДФО ГРОМАДИ'!M236</f>
        <v>16307.1</v>
      </c>
      <c r="F236" s="5">
        <f>'ПДФО ГРОМАДИ'!N236</f>
        <v>0</v>
      </c>
    </row>
    <row r="237" spans="1:6" ht="15.75" x14ac:dyDescent="0.25">
      <c r="A237" s="17" t="s">
        <v>761</v>
      </c>
      <c r="B237" s="17" t="s">
        <v>7</v>
      </c>
      <c r="C237" s="17" t="s">
        <v>762</v>
      </c>
      <c r="D237" s="11" t="s">
        <v>11</v>
      </c>
      <c r="E237" s="11">
        <f>E239+E245+E238</f>
        <v>580143.1</v>
      </c>
      <c r="F237" s="11">
        <f>F239+F245+F238</f>
        <v>1009358.7000000002</v>
      </c>
    </row>
    <row r="238" spans="1:6" ht="15.75" x14ac:dyDescent="0.25">
      <c r="A238" s="33" t="s">
        <v>761</v>
      </c>
      <c r="B238" s="34" t="s">
        <v>6</v>
      </c>
      <c r="C238" s="18" t="s">
        <v>63</v>
      </c>
      <c r="D238" s="32" t="s">
        <v>840</v>
      </c>
      <c r="E238" s="5">
        <f>'ПДФО ОБЛАСНІ'!K7+'ПОДАТОК НА ПРИБУТОК'!K7</f>
        <v>0</v>
      </c>
      <c r="F238" s="5">
        <f>'ПДФО ОБЛАСНІ'!L7+'ПОДАТОК НА ПРИБУТОК'!L7</f>
        <v>42341.9</v>
      </c>
    </row>
    <row r="239" spans="1:6" ht="15.75" x14ac:dyDescent="0.25">
      <c r="A239" s="19" t="s">
        <v>761</v>
      </c>
      <c r="B239" s="19" t="s">
        <v>5</v>
      </c>
      <c r="C239" s="19" t="s">
        <v>763</v>
      </c>
      <c r="D239" s="7" t="s">
        <v>2796</v>
      </c>
      <c r="E239" s="7">
        <f>SUM(E240:E244)</f>
        <v>0</v>
      </c>
      <c r="F239" s="7">
        <f>SUM(F240:F244)</f>
        <v>0</v>
      </c>
    </row>
    <row r="240" spans="1:6" ht="15.75" x14ac:dyDescent="0.25">
      <c r="A240" s="33" t="s">
        <v>761</v>
      </c>
      <c r="B240" s="34" t="s">
        <v>4</v>
      </c>
      <c r="C240" s="18" t="s">
        <v>64</v>
      </c>
      <c r="D240" s="32" t="s">
        <v>1059</v>
      </c>
      <c r="E240" s="5">
        <f>'ПДФО ГРОМАДИ'!M240</f>
        <v>0</v>
      </c>
      <c r="F240" s="5">
        <f>'ПДФО ГРОМАДИ'!N240</f>
        <v>0</v>
      </c>
    </row>
    <row r="241" spans="1:6" ht="15.75" x14ac:dyDescent="0.25">
      <c r="A241" s="33" t="s">
        <v>761</v>
      </c>
      <c r="B241" s="34" t="s">
        <v>4</v>
      </c>
      <c r="C241" s="18" t="s">
        <v>65</v>
      </c>
      <c r="D241" s="32" t="s">
        <v>896</v>
      </c>
      <c r="E241" s="5">
        <f>'ПДФО ГРОМАДИ'!M241</f>
        <v>0</v>
      </c>
      <c r="F241" s="5">
        <f>'ПДФО ГРОМАДИ'!N241</f>
        <v>0</v>
      </c>
    </row>
    <row r="242" spans="1:6" ht="15.75" x14ac:dyDescent="0.25">
      <c r="A242" s="33" t="s">
        <v>761</v>
      </c>
      <c r="B242" s="34" t="s">
        <v>4</v>
      </c>
      <c r="C242" s="18" t="s">
        <v>66</v>
      </c>
      <c r="D242" s="32" t="s">
        <v>895</v>
      </c>
      <c r="E242" s="5">
        <f>'ПДФО ГРОМАДИ'!M242</f>
        <v>0</v>
      </c>
      <c r="F242" s="5">
        <f>'ПДФО ГРОМАДИ'!N242</f>
        <v>0</v>
      </c>
    </row>
    <row r="243" spans="1:6" ht="15.75" x14ac:dyDescent="0.25">
      <c r="A243" s="33" t="s">
        <v>761</v>
      </c>
      <c r="B243" s="34" t="s">
        <v>4</v>
      </c>
      <c r="C243" s="30" t="s">
        <v>1322</v>
      </c>
      <c r="D243" s="32" t="s">
        <v>1324</v>
      </c>
      <c r="E243" s="5">
        <f>'ПДФО ГРОМАДИ'!M243</f>
        <v>0</v>
      </c>
      <c r="F243" s="5">
        <f>'ПДФО ГРОМАДИ'!N243</f>
        <v>0</v>
      </c>
    </row>
    <row r="244" spans="1:6" ht="15.75" x14ac:dyDescent="0.25">
      <c r="A244" s="33" t="s">
        <v>761</v>
      </c>
      <c r="B244" s="34" t="s">
        <v>4</v>
      </c>
      <c r="C244" s="30" t="s">
        <v>1323</v>
      </c>
      <c r="D244" s="32" t="s">
        <v>1325</v>
      </c>
      <c r="E244" s="5">
        <f>'ПДФО ГРОМАДИ'!M244</f>
        <v>0</v>
      </c>
      <c r="F244" s="5">
        <f>'ПДФО ГРОМАДИ'!N244</f>
        <v>0</v>
      </c>
    </row>
    <row r="245" spans="1:6" ht="15.75" x14ac:dyDescent="0.25">
      <c r="A245" s="19" t="s">
        <v>761</v>
      </c>
      <c r="B245" s="19" t="s">
        <v>28</v>
      </c>
      <c r="C245" s="19" t="s">
        <v>764</v>
      </c>
      <c r="D245" s="20" t="s">
        <v>2771</v>
      </c>
      <c r="E245" s="7">
        <f>SUM(E246:E291)</f>
        <v>580143.1</v>
      </c>
      <c r="F245" s="7">
        <f>SUM(F246:F291)</f>
        <v>967016.80000000016</v>
      </c>
    </row>
    <row r="246" spans="1:6" ht="15.75" x14ac:dyDescent="0.25">
      <c r="A246" s="33" t="s">
        <v>761</v>
      </c>
      <c r="B246" s="34" t="s">
        <v>986</v>
      </c>
      <c r="C246" s="18" t="s">
        <v>970</v>
      </c>
      <c r="D246" s="32" t="s">
        <v>1326</v>
      </c>
      <c r="E246" s="5">
        <f>'ПДФО ГРОМАДИ'!M246</f>
        <v>0</v>
      </c>
      <c r="F246" s="5">
        <f>'ПДФО ГРОМАДИ'!N246</f>
        <v>0</v>
      </c>
    </row>
    <row r="247" spans="1:6" ht="15.75" x14ac:dyDescent="0.25">
      <c r="A247" s="33" t="s">
        <v>761</v>
      </c>
      <c r="B247" s="34" t="s">
        <v>984</v>
      </c>
      <c r="C247" s="18" t="s">
        <v>67</v>
      </c>
      <c r="D247" s="32" t="s">
        <v>1327</v>
      </c>
      <c r="E247" s="5">
        <f>'ПДФО ГРОМАДИ'!M247</f>
        <v>0</v>
      </c>
      <c r="F247" s="5">
        <f>'ПДФО ГРОМАДИ'!N247</f>
        <v>0</v>
      </c>
    </row>
    <row r="248" spans="1:6" ht="15.75" x14ac:dyDescent="0.25">
      <c r="A248" s="33" t="s">
        <v>761</v>
      </c>
      <c r="B248" s="34" t="s">
        <v>985</v>
      </c>
      <c r="C248" s="18" t="s">
        <v>68</v>
      </c>
      <c r="D248" s="32" t="s">
        <v>1280</v>
      </c>
      <c r="E248" s="5">
        <f>'ПДФО ГРОМАДИ'!M248</f>
        <v>0</v>
      </c>
      <c r="F248" s="5">
        <f>'ПДФО ГРОМАДИ'!N248</f>
        <v>12725.2</v>
      </c>
    </row>
    <row r="249" spans="1:6" ht="15.75" x14ac:dyDescent="0.25">
      <c r="A249" s="33" t="s">
        <v>761</v>
      </c>
      <c r="B249" s="34" t="s">
        <v>983</v>
      </c>
      <c r="C249" s="18" t="s">
        <v>742</v>
      </c>
      <c r="D249" s="32" t="s">
        <v>1328</v>
      </c>
      <c r="E249" s="5">
        <f>'ПДФО ГРОМАДИ'!M249</f>
        <v>7365.8</v>
      </c>
      <c r="F249" s="5">
        <f>'ПДФО ГРОМАДИ'!N249</f>
        <v>0</v>
      </c>
    </row>
    <row r="250" spans="1:6" ht="15.75" x14ac:dyDescent="0.25">
      <c r="A250" s="33" t="s">
        <v>761</v>
      </c>
      <c r="B250" s="34" t="s">
        <v>983</v>
      </c>
      <c r="C250" s="18" t="s">
        <v>743</v>
      </c>
      <c r="D250" s="32" t="s">
        <v>1329</v>
      </c>
      <c r="E250" s="5">
        <f>'ПДФО ГРОМАДИ'!M250</f>
        <v>8244.2999999999993</v>
      </c>
      <c r="F250" s="5">
        <f>'ПДФО ГРОМАДИ'!N250</f>
        <v>0</v>
      </c>
    </row>
    <row r="251" spans="1:6" ht="15.75" x14ac:dyDescent="0.25">
      <c r="A251" s="33" t="s">
        <v>761</v>
      </c>
      <c r="B251" s="34" t="s">
        <v>984</v>
      </c>
      <c r="C251" s="18" t="s">
        <v>744</v>
      </c>
      <c r="D251" s="32" t="s">
        <v>1330</v>
      </c>
      <c r="E251" s="5">
        <f>'ПДФО ГРОМАДИ'!M251</f>
        <v>6649.1</v>
      </c>
      <c r="F251" s="5">
        <f>'ПДФО ГРОМАДИ'!N251</f>
        <v>0</v>
      </c>
    </row>
    <row r="252" spans="1:6" ht="15.75" x14ac:dyDescent="0.25">
      <c r="A252" s="33" t="s">
        <v>761</v>
      </c>
      <c r="B252" s="34" t="s">
        <v>983</v>
      </c>
      <c r="C252" s="18" t="s">
        <v>745</v>
      </c>
      <c r="D252" s="32" t="s">
        <v>1331</v>
      </c>
      <c r="E252" s="5">
        <f>'ПДФО ГРОМАДИ'!M252</f>
        <v>0</v>
      </c>
      <c r="F252" s="5">
        <f>'ПДФО ГРОМАДИ'!N252</f>
        <v>25745</v>
      </c>
    </row>
    <row r="253" spans="1:6" ht="15.75" x14ac:dyDescent="0.25">
      <c r="A253" s="33" t="s">
        <v>761</v>
      </c>
      <c r="B253" s="34" t="s">
        <v>984</v>
      </c>
      <c r="C253" s="18" t="s">
        <v>746</v>
      </c>
      <c r="D253" s="32" t="s">
        <v>1332</v>
      </c>
      <c r="E253" s="5">
        <f>'ПДФО ГРОМАДИ'!M253</f>
        <v>0</v>
      </c>
      <c r="F253" s="5">
        <f>'ПДФО ГРОМАДИ'!N253</f>
        <v>3206</v>
      </c>
    </row>
    <row r="254" spans="1:6" ht="15.75" x14ac:dyDescent="0.25">
      <c r="A254" s="33" t="s">
        <v>761</v>
      </c>
      <c r="B254" s="34" t="s">
        <v>984</v>
      </c>
      <c r="C254" s="18" t="s">
        <v>747</v>
      </c>
      <c r="D254" s="32" t="s">
        <v>1333</v>
      </c>
      <c r="E254" s="5">
        <f>'ПДФО ГРОМАДИ'!M254</f>
        <v>1247.3</v>
      </c>
      <c r="F254" s="5">
        <f>'ПДФО ГРОМАДИ'!N254</f>
        <v>0</v>
      </c>
    </row>
    <row r="255" spans="1:6" ht="15.75" x14ac:dyDescent="0.25">
      <c r="A255" s="35" t="s">
        <v>761</v>
      </c>
      <c r="B255" s="34" t="s">
        <v>985</v>
      </c>
      <c r="C255" s="30" t="s">
        <v>735</v>
      </c>
      <c r="D255" s="32" t="s">
        <v>1334</v>
      </c>
      <c r="E255" s="5">
        <f>'ПДФО ГРОМАДИ'!M255</f>
        <v>0</v>
      </c>
      <c r="F255" s="5">
        <f>'ПДФО ГРОМАДИ'!N255</f>
        <v>13894.1</v>
      </c>
    </row>
    <row r="256" spans="1:6" ht="15.75" x14ac:dyDescent="0.25">
      <c r="A256" s="35" t="s">
        <v>761</v>
      </c>
      <c r="B256" s="34" t="s">
        <v>986</v>
      </c>
      <c r="C256" s="30" t="s">
        <v>975</v>
      </c>
      <c r="D256" s="32" t="s">
        <v>1335</v>
      </c>
      <c r="E256" s="5">
        <f>'ПДФО ГРОМАДИ'!M256</f>
        <v>0</v>
      </c>
      <c r="F256" s="5">
        <f>'ПДФО ГРОМАДИ'!N256</f>
        <v>0</v>
      </c>
    </row>
    <row r="257" spans="1:6" ht="15.75" x14ac:dyDescent="0.25">
      <c r="A257" s="35" t="s">
        <v>761</v>
      </c>
      <c r="B257" s="34" t="s">
        <v>986</v>
      </c>
      <c r="C257" s="30" t="s">
        <v>1036</v>
      </c>
      <c r="D257" s="32" t="s">
        <v>1336</v>
      </c>
      <c r="E257" s="5">
        <f>'ПДФО ГРОМАДИ'!M257</f>
        <v>0</v>
      </c>
      <c r="F257" s="5">
        <f>'ПДФО ГРОМАДИ'!N257</f>
        <v>0</v>
      </c>
    </row>
    <row r="258" spans="1:6" ht="15.75" x14ac:dyDescent="0.25">
      <c r="A258" s="35" t="s">
        <v>761</v>
      </c>
      <c r="B258" s="34" t="s">
        <v>984</v>
      </c>
      <c r="C258" s="30" t="s">
        <v>1037</v>
      </c>
      <c r="D258" s="32" t="s">
        <v>1337</v>
      </c>
      <c r="E258" s="5">
        <f>'ПДФО ГРОМАДИ'!M258</f>
        <v>0</v>
      </c>
      <c r="F258" s="5">
        <f>'ПДФО ГРОМАДИ'!N258</f>
        <v>548.70000000000005</v>
      </c>
    </row>
    <row r="259" spans="1:6" ht="15.75" x14ac:dyDescent="0.25">
      <c r="A259" s="35" t="s">
        <v>761</v>
      </c>
      <c r="B259" s="34" t="s">
        <v>986</v>
      </c>
      <c r="C259" s="30" t="s">
        <v>1338</v>
      </c>
      <c r="D259" s="32" t="s">
        <v>1339</v>
      </c>
      <c r="E259" s="5">
        <f>'ПДФО ГРОМАДИ'!M259</f>
        <v>0</v>
      </c>
      <c r="F259" s="5">
        <f>'ПДФО ГРОМАДИ'!N259</f>
        <v>0</v>
      </c>
    </row>
    <row r="260" spans="1:6" ht="15.75" x14ac:dyDescent="0.25">
      <c r="A260" s="35" t="s">
        <v>761</v>
      </c>
      <c r="B260" s="34" t="s">
        <v>983</v>
      </c>
      <c r="C260" s="30" t="s">
        <v>1340</v>
      </c>
      <c r="D260" s="32" t="s">
        <v>1341</v>
      </c>
      <c r="E260" s="5">
        <f>'ПДФО ГРОМАДИ'!M260</f>
        <v>0</v>
      </c>
      <c r="F260" s="5">
        <f>'ПДФО ГРОМАДИ'!N260</f>
        <v>14147.5</v>
      </c>
    </row>
    <row r="261" spans="1:6" ht="15.75" x14ac:dyDescent="0.25">
      <c r="A261" s="35" t="s">
        <v>761</v>
      </c>
      <c r="B261" s="34" t="s">
        <v>985</v>
      </c>
      <c r="C261" s="30" t="s">
        <v>1342</v>
      </c>
      <c r="D261" s="32" t="s">
        <v>1343</v>
      </c>
      <c r="E261" s="5">
        <f>'ПДФО ГРОМАДИ'!M261</f>
        <v>0</v>
      </c>
      <c r="F261" s="5">
        <f>'ПДФО ГРОМАДИ'!N261</f>
        <v>26474.799999999999</v>
      </c>
    </row>
    <row r="262" spans="1:6" ht="15.75" x14ac:dyDescent="0.25">
      <c r="A262" s="35" t="s">
        <v>761</v>
      </c>
      <c r="B262" s="34" t="s">
        <v>983</v>
      </c>
      <c r="C262" s="30" t="s">
        <v>1344</v>
      </c>
      <c r="D262" s="32" t="s">
        <v>1345</v>
      </c>
      <c r="E262" s="5">
        <f>'ПДФО ГРОМАДИ'!M262</f>
        <v>0</v>
      </c>
      <c r="F262" s="5">
        <f>'ПДФО ГРОМАДИ'!N262</f>
        <v>58596.800000000003</v>
      </c>
    </row>
    <row r="263" spans="1:6" ht="15.75" x14ac:dyDescent="0.25">
      <c r="A263" s="35" t="s">
        <v>761</v>
      </c>
      <c r="B263" s="34" t="s">
        <v>985</v>
      </c>
      <c r="C263" s="30" t="s">
        <v>1346</v>
      </c>
      <c r="D263" s="32" t="s">
        <v>1347</v>
      </c>
      <c r="E263" s="5">
        <f>'ПДФО ГРОМАДИ'!M263</f>
        <v>0</v>
      </c>
      <c r="F263" s="5">
        <f>'ПДФО ГРОМАДИ'!N263</f>
        <v>12985.9</v>
      </c>
    </row>
    <row r="264" spans="1:6" ht="15.75" x14ac:dyDescent="0.25">
      <c r="A264" s="35" t="s">
        <v>761</v>
      </c>
      <c r="B264" s="34" t="s">
        <v>986</v>
      </c>
      <c r="C264" s="30" t="s">
        <v>1348</v>
      </c>
      <c r="D264" s="32" t="s">
        <v>1349</v>
      </c>
      <c r="E264" s="5">
        <f>'ПДФО ГРОМАДИ'!M264</f>
        <v>0</v>
      </c>
      <c r="F264" s="5">
        <f>'ПДФО ГРОМАДИ'!N264</f>
        <v>0</v>
      </c>
    </row>
    <row r="265" spans="1:6" ht="15.75" x14ac:dyDescent="0.25">
      <c r="A265" s="35" t="s">
        <v>761</v>
      </c>
      <c r="B265" s="34" t="s">
        <v>986</v>
      </c>
      <c r="C265" s="30" t="s">
        <v>1350</v>
      </c>
      <c r="D265" s="32" t="s">
        <v>1351</v>
      </c>
      <c r="E265" s="5">
        <f>'ПДФО ГРОМАДИ'!M265</f>
        <v>0</v>
      </c>
      <c r="F265" s="5">
        <f>'ПДФО ГРОМАДИ'!N265</f>
        <v>50547.9</v>
      </c>
    </row>
    <row r="266" spans="1:6" ht="15.75" x14ac:dyDescent="0.25">
      <c r="A266" s="35" t="s">
        <v>761</v>
      </c>
      <c r="B266" s="34" t="s">
        <v>984</v>
      </c>
      <c r="C266" s="30" t="s">
        <v>1352</v>
      </c>
      <c r="D266" s="32" t="s">
        <v>1353</v>
      </c>
      <c r="E266" s="5">
        <f>'ПДФО ГРОМАДИ'!M266</f>
        <v>0</v>
      </c>
      <c r="F266" s="5">
        <f>'ПДФО ГРОМАДИ'!N266</f>
        <v>17670.099999999999</v>
      </c>
    </row>
    <row r="267" spans="1:6" ht="15.75" x14ac:dyDescent="0.25">
      <c r="A267" s="35" t="s">
        <v>761</v>
      </c>
      <c r="B267" s="34" t="s">
        <v>984</v>
      </c>
      <c r="C267" s="30" t="s">
        <v>1354</v>
      </c>
      <c r="D267" s="32" t="s">
        <v>1355</v>
      </c>
      <c r="E267" s="5">
        <f>'ПДФО ГРОМАДИ'!M267</f>
        <v>0</v>
      </c>
      <c r="F267" s="5">
        <f>'ПДФО ГРОМАДИ'!N267</f>
        <v>11332.2</v>
      </c>
    </row>
    <row r="268" spans="1:6" ht="15.75" x14ac:dyDescent="0.25">
      <c r="A268" s="35" t="s">
        <v>761</v>
      </c>
      <c r="B268" s="34" t="s">
        <v>986</v>
      </c>
      <c r="C268" s="30" t="s">
        <v>1356</v>
      </c>
      <c r="D268" s="32" t="s">
        <v>1357</v>
      </c>
      <c r="E268" s="5">
        <f>'ПДФО ГРОМАДИ'!M268</f>
        <v>0</v>
      </c>
      <c r="F268" s="5">
        <f>'ПДФО ГРОМАДИ'!N268</f>
        <v>92328.9</v>
      </c>
    </row>
    <row r="269" spans="1:6" ht="15.75" x14ac:dyDescent="0.25">
      <c r="A269" s="35" t="s">
        <v>761</v>
      </c>
      <c r="B269" s="34" t="s">
        <v>986</v>
      </c>
      <c r="C269" s="30" t="s">
        <v>1358</v>
      </c>
      <c r="D269" s="32" t="s">
        <v>1359</v>
      </c>
      <c r="E269" s="5">
        <f>'ПДФО ГРОМАДИ'!M269</f>
        <v>6383.4</v>
      </c>
      <c r="F269" s="5">
        <f>'ПДФО ГРОМАДИ'!N269</f>
        <v>0</v>
      </c>
    </row>
    <row r="270" spans="1:6" ht="15.75" x14ac:dyDescent="0.25">
      <c r="A270" s="35" t="s">
        <v>761</v>
      </c>
      <c r="B270" s="34" t="s">
        <v>983</v>
      </c>
      <c r="C270" s="30" t="s">
        <v>1360</v>
      </c>
      <c r="D270" s="32" t="s">
        <v>1361</v>
      </c>
      <c r="E270" s="5">
        <f>'ПДФО ГРОМАДИ'!M270</f>
        <v>0</v>
      </c>
      <c r="F270" s="5">
        <f>'ПДФО ГРОМАДИ'!N270</f>
        <v>49006.7</v>
      </c>
    </row>
    <row r="271" spans="1:6" ht="15.75" x14ac:dyDescent="0.25">
      <c r="A271" s="35" t="s">
        <v>761</v>
      </c>
      <c r="B271" s="34" t="s">
        <v>985</v>
      </c>
      <c r="C271" s="30" t="s">
        <v>1362</v>
      </c>
      <c r="D271" s="32" t="s">
        <v>1363</v>
      </c>
      <c r="E271" s="5">
        <f>'ПДФО ГРОМАДИ'!M271</f>
        <v>0</v>
      </c>
      <c r="F271" s="5">
        <f>'ПДФО ГРОМАДИ'!N271</f>
        <v>41837.4</v>
      </c>
    </row>
    <row r="272" spans="1:6" ht="15.75" x14ac:dyDescent="0.25">
      <c r="A272" s="35" t="s">
        <v>761</v>
      </c>
      <c r="B272" s="34" t="s">
        <v>983</v>
      </c>
      <c r="C272" s="30" t="s">
        <v>1364</v>
      </c>
      <c r="D272" s="32" t="s">
        <v>1365</v>
      </c>
      <c r="E272" s="5">
        <f>'ПДФО ГРОМАДИ'!M272</f>
        <v>0</v>
      </c>
      <c r="F272" s="5">
        <f>'ПДФО ГРОМАДИ'!N272</f>
        <v>50328.6</v>
      </c>
    </row>
    <row r="273" spans="1:6" ht="15.75" x14ac:dyDescent="0.25">
      <c r="A273" s="35" t="s">
        <v>761</v>
      </c>
      <c r="B273" s="34" t="s">
        <v>986</v>
      </c>
      <c r="C273" s="30" t="s">
        <v>1366</v>
      </c>
      <c r="D273" s="32" t="s">
        <v>2826</v>
      </c>
      <c r="E273" s="5">
        <f>'ПДФО ГРОМАДИ'!M273</f>
        <v>435063.8</v>
      </c>
      <c r="F273" s="5">
        <f>'ПДФО ГРОМАДИ'!N273</f>
        <v>0</v>
      </c>
    </row>
    <row r="274" spans="1:6" ht="15.75" x14ac:dyDescent="0.25">
      <c r="A274" s="35" t="s">
        <v>761</v>
      </c>
      <c r="B274" s="34" t="s">
        <v>985</v>
      </c>
      <c r="C274" s="30" t="s">
        <v>1367</v>
      </c>
      <c r="D274" s="32" t="s">
        <v>1368</v>
      </c>
      <c r="E274" s="5">
        <f>'ПДФО ГРОМАДИ'!M274</f>
        <v>0</v>
      </c>
      <c r="F274" s="5">
        <f>'ПДФО ГРОМАДИ'!N274</f>
        <v>22549.8</v>
      </c>
    </row>
    <row r="275" spans="1:6" ht="15.75" x14ac:dyDescent="0.25">
      <c r="A275" s="35" t="s">
        <v>761</v>
      </c>
      <c r="B275" s="34" t="s">
        <v>986</v>
      </c>
      <c r="C275" s="30" t="s">
        <v>1369</v>
      </c>
      <c r="D275" s="32" t="s">
        <v>1370</v>
      </c>
      <c r="E275" s="5">
        <f>'ПДФО ГРОМАДИ'!M275</f>
        <v>0</v>
      </c>
      <c r="F275" s="5">
        <f>'ПДФО ГРОМАДИ'!N275</f>
        <v>7832.2</v>
      </c>
    </row>
    <row r="276" spans="1:6" ht="15.75" x14ac:dyDescent="0.25">
      <c r="A276" s="35" t="s">
        <v>761</v>
      </c>
      <c r="B276" s="34" t="s">
        <v>985</v>
      </c>
      <c r="C276" s="30" t="s">
        <v>1371</v>
      </c>
      <c r="D276" s="32" t="s">
        <v>1372</v>
      </c>
      <c r="E276" s="5">
        <f>'ПДФО ГРОМАДИ'!M276</f>
        <v>0</v>
      </c>
      <c r="F276" s="5">
        <f>'ПДФО ГРОМАДИ'!N276</f>
        <v>25929</v>
      </c>
    </row>
    <row r="277" spans="1:6" ht="15.75" x14ac:dyDescent="0.25">
      <c r="A277" s="35" t="s">
        <v>761</v>
      </c>
      <c r="B277" s="34" t="s">
        <v>986</v>
      </c>
      <c r="C277" s="30" t="s">
        <v>1373</v>
      </c>
      <c r="D277" s="32" t="s">
        <v>1374</v>
      </c>
      <c r="E277" s="5">
        <f>'ПДФО ГРОМАДИ'!M277</f>
        <v>0</v>
      </c>
      <c r="F277" s="5">
        <f>'ПДФО ГРОМАДИ'!N277</f>
        <v>3237.9</v>
      </c>
    </row>
    <row r="278" spans="1:6" s="75" customFormat="1" ht="15.75" x14ac:dyDescent="0.25">
      <c r="A278" s="35" t="s">
        <v>761</v>
      </c>
      <c r="B278" s="34" t="s">
        <v>985</v>
      </c>
      <c r="C278" s="30" t="s">
        <v>1375</v>
      </c>
      <c r="D278" s="32" t="s">
        <v>1376</v>
      </c>
      <c r="E278" s="5">
        <f>'ПДФО ГРОМАДИ'!M278</f>
        <v>2695.7</v>
      </c>
      <c r="F278" s="5">
        <f>'ПДФО ГРОМАДИ'!N278</f>
        <v>0</v>
      </c>
    </row>
    <row r="279" spans="1:6" ht="15.75" x14ac:dyDescent="0.25">
      <c r="A279" s="35" t="s">
        <v>761</v>
      </c>
      <c r="B279" s="34" t="s">
        <v>985</v>
      </c>
      <c r="C279" s="30" t="s">
        <v>1377</v>
      </c>
      <c r="D279" s="32" t="s">
        <v>1378</v>
      </c>
      <c r="E279" s="5">
        <f>'ПДФО ГРОМАДИ'!M279</f>
        <v>0</v>
      </c>
      <c r="F279" s="5">
        <f>'ПДФО ГРОМАДИ'!N279</f>
        <v>17662.400000000001</v>
      </c>
    </row>
    <row r="280" spans="1:6" ht="15.75" x14ac:dyDescent="0.25">
      <c r="A280" s="35" t="s">
        <v>761</v>
      </c>
      <c r="B280" s="34" t="s">
        <v>985</v>
      </c>
      <c r="C280" s="30" t="s">
        <v>1379</v>
      </c>
      <c r="D280" s="32" t="s">
        <v>1380</v>
      </c>
      <c r="E280" s="5">
        <f>'ПДФО ГРОМАДИ'!M280</f>
        <v>0</v>
      </c>
      <c r="F280" s="5">
        <f>'ПДФО ГРОМАДИ'!N280</f>
        <v>52910.6</v>
      </c>
    </row>
    <row r="281" spans="1:6" ht="15.75" x14ac:dyDescent="0.25">
      <c r="A281" s="35" t="s">
        <v>761</v>
      </c>
      <c r="B281" s="34" t="s">
        <v>986</v>
      </c>
      <c r="C281" s="30" t="s">
        <v>1381</v>
      </c>
      <c r="D281" s="32" t="s">
        <v>1382</v>
      </c>
      <c r="E281" s="5">
        <f>'ПДФО ГРОМАДИ'!M281</f>
        <v>107253.8</v>
      </c>
      <c r="F281" s="5">
        <f>'ПДФО ГРОМАДИ'!N281</f>
        <v>0</v>
      </c>
    </row>
    <row r="282" spans="1:6" ht="15.75" x14ac:dyDescent="0.25">
      <c r="A282" s="35" t="s">
        <v>761</v>
      </c>
      <c r="B282" s="34" t="s">
        <v>985</v>
      </c>
      <c r="C282" s="30" t="s">
        <v>1383</v>
      </c>
      <c r="D282" s="32" t="s">
        <v>1384</v>
      </c>
      <c r="E282" s="5">
        <f>'ПДФО ГРОМАДИ'!M282</f>
        <v>0</v>
      </c>
      <c r="F282" s="5">
        <f>'ПДФО ГРОМАДИ'!N282</f>
        <v>46365.3</v>
      </c>
    </row>
    <row r="283" spans="1:6" ht="15.75" x14ac:dyDescent="0.25">
      <c r="A283" s="35" t="s">
        <v>761</v>
      </c>
      <c r="B283" s="34" t="s">
        <v>983</v>
      </c>
      <c r="C283" s="30" t="s">
        <v>1385</v>
      </c>
      <c r="D283" s="32" t="s">
        <v>1386</v>
      </c>
      <c r="E283" s="5">
        <f>'ПДФО ГРОМАДИ'!M283</f>
        <v>0</v>
      </c>
      <c r="F283" s="5">
        <f>'ПДФО ГРОМАДИ'!N283</f>
        <v>4079</v>
      </c>
    </row>
    <row r="284" spans="1:6" ht="15.75" x14ac:dyDescent="0.25">
      <c r="A284" s="35" t="s">
        <v>761</v>
      </c>
      <c r="B284" s="34" t="s">
        <v>983</v>
      </c>
      <c r="C284" s="30" t="s">
        <v>1387</v>
      </c>
      <c r="D284" s="32" t="s">
        <v>1388</v>
      </c>
      <c r="E284" s="5">
        <f>'ПДФО ГРОМАДИ'!M284</f>
        <v>0</v>
      </c>
      <c r="F284" s="5">
        <f>'ПДФО ГРОМАДИ'!N284</f>
        <v>21479.3</v>
      </c>
    </row>
    <row r="285" spans="1:6" ht="15.75" x14ac:dyDescent="0.25">
      <c r="A285" s="35" t="s">
        <v>761</v>
      </c>
      <c r="B285" s="34" t="s">
        <v>986</v>
      </c>
      <c r="C285" s="30" t="s">
        <v>1389</v>
      </c>
      <c r="D285" s="32" t="s">
        <v>1390</v>
      </c>
      <c r="E285" s="5">
        <f>'ПДФО ГРОМАДИ'!M285</f>
        <v>0</v>
      </c>
      <c r="F285" s="5">
        <f>'ПДФО ГРОМАДИ'!N285</f>
        <v>53712.1</v>
      </c>
    </row>
    <row r="286" spans="1:6" ht="15.75" x14ac:dyDescent="0.25">
      <c r="A286" s="35" t="s">
        <v>761</v>
      </c>
      <c r="B286" s="34" t="s">
        <v>986</v>
      </c>
      <c r="C286" s="30" t="s">
        <v>1391</v>
      </c>
      <c r="D286" s="32" t="s">
        <v>1392</v>
      </c>
      <c r="E286" s="5">
        <f>'ПДФО ГРОМАДИ'!M286</f>
        <v>0</v>
      </c>
      <c r="F286" s="5">
        <f>'ПДФО ГРОМАДИ'!N286</f>
        <v>106090.4</v>
      </c>
    </row>
    <row r="287" spans="1:6" ht="15.75" x14ac:dyDescent="0.25">
      <c r="A287" s="35" t="s">
        <v>761</v>
      </c>
      <c r="B287" s="34" t="s">
        <v>984</v>
      </c>
      <c r="C287" s="30" t="s">
        <v>1393</v>
      </c>
      <c r="D287" s="32" t="s">
        <v>1394</v>
      </c>
      <c r="E287" s="5">
        <f>'ПДФО ГРОМАДИ'!M287</f>
        <v>0</v>
      </c>
      <c r="F287" s="5">
        <f>'ПДФО ГРОМАДИ'!N287</f>
        <v>19842.599999999999</v>
      </c>
    </row>
    <row r="288" spans="1:6" ht="15.75" x14ac:dyDescent="0.25">
      <c r="A288" s="35" t="s">
        <v>761</v>
      </c>
      <c r="B288" s="34" t="s">
        <v>986</v>
      </c>
      <c r="C288" s="30" t="s">
        <v>1395</v>
      </c>
      <c r="D288" s="32" t="s">
        <v>1396</v>
      </c>
      <c r="E288" s="5">
        <f>'ПДФО ГРОМАДИ'!M288</f>
        <v>0</v>
      </c>
      <c r="F288" s="5">
        <f>'ПДФО ГРОМАДИ'!N288</f>
        <v>77042.899999999994</v>
      </c>
    </row>
    <row r="289" spans="1:6" ht="15.75" x14ac:dyDescent="0.25">
      <c r="A289" s="35" t="s">
        <v>761</v>
      </c>
      <c r="B289" s="34" t="s">
        <v>985</v>
      </c>
      <c r="C289" s="30" t="s">
        <v>1397</v>
      </c>
      <c r="D289" s="32" t="s">
        <v>1398</v>
      </c>
      <c r="E289" s="5">
        <f>'ПДФО ГРОМАДИ'!M289</f>
        <v>5239.8999999999996</v>
      </c>
      <c r="F289" s="5">
        <f>'ПДФО ГРОМАДИ'!N289</f>
        <v>0</v>
      </c>
    </row>
    <row r="290" spans="1:6" ht="15.75" x14ac:dyDescent="0.25">
      <c r="A290" s="35" t="s">
        <v>761</v>
      </c>
      <c r="B290" s="34" t="s">
        <v>984</v>
      </c>
      <c r="C290" s="30" t="s">
        <v>1399</v>
      </c>
      <c r="D290" s="32" t="s">
        <v>1400</v>
      </c>
      <c r="E290" s="5">
        <f>'ПДФО ГРОМАДИ'!M290</f>
        <v>0</v>
      </c>
      <c r="F290" s="5">
        <f>'ПДФО ГРОМАДИ'!N290</f>
        <v>9568.4</v>
      </c>
    </row>
    <row r="291" spans="1:6" ht="15.75" x14ac:dyDescent="0.25">
      <c r="A291" s="35" t="s">
        <v>761</v>
      </c>
      <c r="B291" s="34" t="s">
        <v>983</v>
      </c>
      <c r="C291" s="30" t="s">
        <v>1401</v>
      </c>
      <c r="D291" s="32" t="s">
        <v>1402</v>
      </c>
      <c r="E291" s="5">
        <f>'ПДФО ГРОМАДИ'!M291</f>
        <v>0</v>
      </c>
      <c r="F291" s="5">
        <f>'ПДФО ГРОМАДИ'!N291</f>
        <v>17339.099999999999</v>
      </c>
    </row>
    <row r="292" spans="1:6" ht="15.75" x14ac:dyDescent="0.25">
      <c r="A292" s="17" t="s">
        <v>765</v>
      </c>
      <c r="B292" s="17" t="s">
        <v>7</v>
      </c>
      <c r="C292" s="17" t="s">
        <v>766</v>
      </c>
      <c r="D292" s="11" t="s">
        <v>841</v>
      </c>
      <c r="E292" s="11">
        <f>E293+E294+E299</f>
        <v>214805</v>
      </c>
      <c r="F292" s="11">
        <f>F293+F294+F299</f>
        <v>512743.99999999994</v>
      </c>
    </row>
    <row r="293" spans="1:6" ht="15.75" x14ac:dyDescent="0.25">
      <c r="A293" s="33" t="s">
        <v>765</v>
      </c>
      <c r="B293" s="34" t="s">
        <v>6</v>
      </c>
      <c r="C293" s="18" t="s">
        <v>69</v>
      </c>
      <c r="D293" s="32" t="s">
        <v>842</v>
      </c>
      <c r="E293" s="5">
        <f>'ПДФО ОБЛАСНІ'!K8+'ПОДАТОК НА ПРИБУТОК'!K8</f>
        <v>0</v>
      </c>
      <c r="F293" s="5">
        <f>'ПДФО ОБЛАСНІ'!L8+'ПОДАТОК НА ПРИБУТОК'!L8</f>
        <v>49723.4</v>
      </c>
    </row>
    <row r="294" spans="1:6" ht="15.75" x14ac:dyDescent="0.25">
      <c r="A294" s="19" t="s">
        <v>765</v>
      </c>
      <c r="B294" s="19" t="s">
        <v>5</v>
      </c>
      <c r="C294" s="19" t="s">
        <v>767</v>
      </c>
      <c r="D294" s="7" t="s">
        <v>2797</v>
      </c>
      <c r="E294" s="7">
        <f>SUM(E295:E298)</f>
        <v>0</v>
      </c>
      <c r="F294" s="7">
        <f>SUM(F295:F298)</f>
        <v>0</v>
      </c>
    </row>
    <row r="295" spans="1:6" ht="15.75" x14ac:dyDescent="0.25">
      <c r="A295" s="33" t="s">
        <v>765</v>
      </c>
      <c r="B295" s="34" t="s">
        <v>4</v>
      </c>
      <c r="C295" s="18" t="s">
        <v>70</v>
      </c>
      <c r="D295" s="32" t="s">
        <v>2798</v>
      </c>
      <c r="E295" s="5">
        <f>'ПДФО ГРОМАДИ'!M295</f>
        <v>0</v>
      </c>
      <c r="F295" s="5">
        <f>'ПДФО ГРОМАДИ'!N295</f>
        <v>0</v>
      </c>
    </row>
    <row r="296" spans="1:6" ht="15.75" x14ac:dyDescent="0.25">
      <c r="A296" s="33" t="s">
        <v>765</v>
      </c>
      <c r="B296" s="34" t="s">
        <v>4</v>
      </c>
      <c r="C296" s="18" t="s">
        <v>71</v>
      </c>
      <c r="D296" s="32" t="s">
        <v>897</v>
      </c>
      <c r="E296" s="5">
        <f>'ПДФО ГРОМАДИ'!M296</f>
        <v>0</v>
      </c>
      <c r="F296" s="5">
        <f>'ПДФО ГРОМАДИ'!N296</f>
        <v>0</v>
      </c>
    </row>
    <row r="297" spans="1:6" ht="15.75" x14ac:dyDescent="0.25">
      <c r="A297" s="33" t="s">
        <v>765</v>
      </c>
      <c r="B297" s="34" t="s">
        <v>4</v>
      </c>
      <c r="C297" s="18" t="s">
        <v>72</v>
      </c>
      <c r="D297" s="32" t="s">
        <v>898</v>
      </c>
      <c r="E297" s="5">
        <f>'ПДФО ГРОМАДИ'!M297</f>
        <v>0</v>
      </c>
      <c r="F297" s="5">
        <f>'ПДФО ГРОМАДИ'!N297</f>
        <v>0</v>
      </c>
    </row>
    <row r="298" spans="1:6" ht="15.75" x14ac:dyDescent="0.25">
      <c r="A298" s="33" t="s">
        <v>765</v>
      </c>
      <c r="B298" s="34" t="s">
        <v>4</v>
      </c>
      <c r="C298" s="18" t="s">
        <v>73</v>
      </c>
      <c r="D298" s="32" t="s">
        <v>899</v>
      </c>
      <c r="E298" s="5">
        <f>'ПДФО ГРОМАДИ'!M298</f>
        <v>0</v>
      </c>
      <c r="F298" s="5">
        <f>'ПДФО ГРОМАДИ'!N298</f>
        <v>0</v>
      </c>
    </row>
    <row r="299" spans="1:6" ht="15.75" x14ac:dyDescent="0.25">
      <c r="A299" s="19" t="s">
        <v>765</v>
      </c>
      <c r="B299" s="19" t="s">
        <v>28</v>
      </c>
      <c r="C299" s="19" t="s">
        <v>768</v>
      </c>
      <c r="D299" s="20" t="s">
        <v>2772</v>
      </c>
      <c r="E299" s="7">
        <f>SUM(E300:E365)</f>
        <v>214805</v>
      </c>
      <c r="F299" s="7">
        <f>SUM(F300:F365)</f>
        <v>463020.59999999992</v>
      </c>
    </row>
    <row r="300" spans="1:6" ht="15.75" x14ac:dyDescent="0.25">
      <c r="A300" s="33" t="s">
        <v>765</v>
      </c>
      <c r="B300" s="34" t="s">
        <v>984</v>
      </c>
      <c r="C300" s="18" t="s">
        <v>74</v>
      </c>
      <c r="D300" s="32" t="s">
        <v>1403</v>
      </c>
      <c r="E300" s="5">
        <f>'ПДФО ГРОМАДИ'!M300</f>
        <v>0</v>
      </c>
      <c r="F300" s="5">
        <f>'ПДФО ГРОМАДИ'!N300</f>
        <v>1037.4000000000001</v>
      </c>
    </row>
    <row r="301" spans="1:6" ht="15.75" x14ac:dyDescent="0.25">
      <c r="A301" s="33" t="s">
        <v>765</v>
      </c>
      <c r="B301" s="34" t="s">
        <v>984</v>
      </c>
      <c r="C301" s="18" t="s">
        <v>75</v>
      </c>
      <c r="D301" s="32" t="s">
        <v>1404</v>
      </c>
      <c r="E301" s="5">
        <f>'ПДФО ГРОМАДИ'!M301</f>
        <v>0</v>
      </c>
      <c r="F301" s="5">
        <f>'ПДФО ГРОМАДИ'!N301</f>
        <v>2525.3000000000002</v>
      </c>
    </row>
    <row r="302" spans="1:6" ht="15.75" x14ac:dyDescent="0.25">
      <c r="A302" s="33" t="s">
        <v>765</v>
      </c>
      <c r="B302" s="34" t="s">
        <v>984</v>
      </c>
      <c r="C302" s="18" t="s">
        <v>76</v>
      </c>
      <c r="D302" s="32" t="s">
        <v>1405</v>
      </c>
      <c r="E302" s="5">
        <f>'ПДФО ГРОМАДИ'!M302</f>
        <v>0</v>
      </c>
      <c r="F302" s="5">
        <f>'ПДФО ГРОМАДИ'!N302</f>
        <v>4961.5</v>
      </c>
    </row>
    <row r="303" spans="1:6" ht="15.75" x14ac:dyDescent="0.25">
      <c r="A303" s="33" t="s">
        <v>765</v>
      </c>
      <c r="B303" s="34" t="s">
        <v>985</v>
      </c>
      <c r="C303" s="18" t="s">
        <v>77</v>
      </c>
      <c r="D303" s="32" t="s">
        <v>1406</v>
      </c>
      <c r="E303" s="5">
        <f>'ПДФО ГРОМАДИ'!M303</f>
        <v>1044</v>
      </c>
      <c r="F303" s="5">
        <f>'ПДФО ГРОМАДИ'!N303</f>
        <v>0</v>
      </c>
    </row>
    <row r="304" spans="1:6" ht="15.75" x14ac:dyDescent="0.25">
      <c r="A304" s="33" t="s">
        <v>765</v>
      </c>
      <c r="B304" s="34" t="s">
        <v>985</v>
      </c>
      <c r="C304" s="18" t="s">
        <v>78</v>
      </c>
      <c r="D304" s="32" t="s">
        <v>1407</v>
      </c>
      <c r="E304" s="5">
        <f>'ПДФО ГРОМАДИ'!M304</f>
        <v>0</v>
      </c>
      <c r="F304" s="5">
        <f>'ПДФО ГРОМАДИ'!N304</f>
        <v>6427</v>
      </c>
    </row>
    <row r="305" spans="1:6" ht="15.75" x14ac:dyDescent="0.25">
      <c r="A305" s="33" t="s">
        <v>765</v>
      </c>
      <c r="B305" s="34" t="s">
        <v>985</v>
      </c>
      <c r="C305" s="18" t="s">
        <v>226</v>
      </c>
      <c r="D305" s="32" t="s">
        <v>1408</v>
      </c>
      <c r="E305" s="5">
        <f>'ПДФО ГРОМАДИ'!M305</f>
        <v>0</v>
      </c>
      <c r="F305" s="5">
        <f>'ПДФО ГРОМАДИ'!N305</f>
        <v>11073.1</v>
      </c>
    </row>
    <row r="306" spans="1:6" ht="15.75" x14ac:dyDescent="0.25">
      <c r="A306" s="33" t="s">
        <v>765</v>
      </c>
      <c r="B306" s="34" t="s">
        <v>984</v>
      </c>
      <c r="C306" s="18" t="s">
        <v>227</v>
      </c>
      <c r="D306" s="32" t="s">
        <v>1409</v>
      </c>
      <c r="E306" s="5">
        <f>'ПДФО ГРОМАДИ'!M306</f>
        <v>0</v>
      </c>
      <c r="F306" s="5">
        <f>'ПДФО ГРОМАДИ'!N306</f>
        <v>4382.6000000000004</v>
      </c>
    </row>
    <row r="307" spans="1:6" ht="15.75" x14ac:dyDescent="0.25">
      <c r="A307" s="33" t="s">
        <v>765</v>
      </c>
      <c r="B307" s="34" t="s">
        <v>984</v>
      </c>
      <c r="C307" s="18" t="s">
        <v>228</v>
      </c>
      <c r="D307" s="32" t="s">
        <v>1410</v>
      </c>
      <c r="E307" s="5">
        <f>'ПДФО ГРОМАДИ'!M307</f>
        <v>0</v>
      </c>
      <c r="F307" s="5">
        <f>'ПДФО ГРОМАДИ'!N307</f>
        <v>5149.2</v>
      </c>
    </row>
    <row r="308" spans="1:6" ht="15.75" x14ac:dyDescent="0.25">
      <c r="A308" s="33" t="s">
        <v>765</v>
      </c>
      <c r="B308" s="34" t="s">
        <v>985</v>
      </c>
      <c r="C308" s="18" t="s">
        <v>229</v>
      </c>
      <c r="D308" s="32" t="s">
        <v>1411</v>
      </c>
      <c r="E308" s="5">
        <f>'ПДФО ГРОМАДИ'!M308</f>
        <v>0</v>
      </c>
      <c r="F308" s="5">
        <f>'ПДФО ГРОМАДИ'!N308</f>
        <v>7775</v>
      </c>
    </row>
    <row r="309" spans="1:6" ht="15.75" x14ac:dyDescent="0.25">
      <c r="A309" s="33" t="s">
        <v>765</v>
      </c>
      <c r="B309" s="34" t="s">
        <v>985</v>
      </c>
      <c r="C309" s="18" t="s">
        <v>283</v>
      </c>
      <c r="D309" s="32" t="s">
        <v>1412</v>
      </c>
      <c r="E309" s="5">
        <f>'ПДФО ГРОМАДИ'!M309</f>
        <v>0</v>
      </c>
      <c r="F309" s="5">
        <f>'ПДФО ГРОМАДИ'!N309</f>
        <v>6480.4</v>
      </c>
    </row>
    <row r="310" spans="1:6" ht="15.75" x14ac:dyDescent="0.25">
      <c r="A310" s="33" t="s">
        <v>765</v>
      </c>
      <c r="B310" s="34" t="s">
        <v>983</v>
      </c>
      <c r="C310" s="18" t="s">
        <v>341</v>
      </c>
      <c r="D310" s="32" t="s">
        <v>1413</v>
      </c>
      <c r="E310" s="5">
        <f>'ПДФО ГРОМАДИ'!M310</f>
        <v>0</v>
      </c>
      <c r="F310" s="5">
        <f>'ПДФО ГРОМАДИ'!N310</f>
        <v>25231.1</v>
      </c>
    </row>
    <row r="311" spans="1:6" ht="15.75" x14ac:dyDescent="0.25">
      <c r="A311" s="33" t="s">
        <v>765</v>
      </c>
      <c r="B311" s="34" t="s">
        <v>983</v>
      </c>
      <c r="C311" s="18" t="s">
        <v>342</v>
      </c>
      <c r="D311" s="32" t="s">
        <v>1414</v>
      </c>
      <c r="E311" s="5">
        <f>'ПДФО ГРОМАДИ'!M311</f>
        <v>0</v>
      </c>
      <c r="F311" s="5">
        <f>'ПДФО ГРОМАДИ'!N311</f>
        <v>25581.3</v>
      </c>
    </row>
    <row r="312" spans="1:6" s="24" customFormat="1" ht="15.75" x14ac:dyDescent="0.25">
      <c r="A312" s="33" t="s">
        <v>765</v>
      </c>
      <c r="B312" s="34" t="s">
        <v>983</v>
      </c>
      <c r="C312" s="18" t="s">
        <v>343</v>
      </c>
      <c r="D312" s="32" t="s">
        <v>1415</v>
      </c>
      <c r="E312" s="5">
        <f>'ПДФО ГРОМАДИ'!M312</f>
        <v>0</v>
      </c>
      <c r="F312" s="5">
        <f>'ПДФО ГРОМАДИ'!N312</f>
        <v>38408.199999999997</v>
      </c>
    </row>
    <row r="313" spans="1:6" s="24" customFormat="1" ht="15.75" x14ac:dyDescent="0.25">
      <c r="A313" s="33" t="s">
        <v>765</v>
      </c>
      <c r="B313" s="34" t="s">
        <v>985</v>
      </c>
      <c r="C313" s="18" t="s">
        <v>344</v>
      </c>
      <c r="D313" s="32" t="s">
        <v>1416</v>
      </c>
      <c r="E313" s="5">
        <f>'ПДФО ГРОМАДИ'!M313</f>
        <v>0</v>
      </c>
      <c r="F313" s="5">
        <f>'ПДФО ГРОМАДИ'!N313</f>
        <v>3756.2</v>
      </c>
    </row>
    <row r="314" spans="1:6" s="24" customFormat="1" ht="15.75" x14ac:dyDescent="0.25">
      <c r="A314" s="33" t="s">
        <v>765</v>
      </c>
      <c r="B314" s="34" t="s">
        <v>985</v>
      </c>
      <c r="C314" s="18" t="s">
        <v>345</v>
      </c>
      <c r="D314" s="32" t="s">
        <v>1417</v>
      </c>
      <c r="E314" s="5">
        <f>'ПДФО ГРОМАДИ'!M314</f>
        <v>0</v>
      </c>
      <c r="F314" s="5">
        <f>'ПДФО ГРОМАДИ'!N314</f>
        <v>12952.3</v>
      </c>
    </row>
    <row r="315" spans="1:6" s="24" customFormat="1" ht="15.75" x14ac:dyDescent="0.25">
      <c r="A315" s="33" t="s">
        <v>765</v>
      </c>
      <c r="B315" s="34" t="s">
        <v>985</v>
      </c>
      <c r="C315" s="18" t="s">
        <v>346</v>
      </c>
      <c r="D315" s="32" t="s">
        <v>1418</v>
      </c>
      <c r="E315" s="5">
        <f>'ПДФО ГРОМАДИ'!M315</f>
        <v>0</v>
      </c>
      <c r="F315" s="5">
        <f>'ПДФО ГРОМАДИ'!N315</f>
        <v>10594.7</v>
      </c>
    </row>
    <row r="316" spans="1:6" s="24" customFormat="1" ht="15.75" x14ac:dyDescent="0.25">
      <c r="A316" s="33" t="s">
        <v>765</v>
      </c>
      <c r="B316" s="34" t="s">
        <v>985</v>
      </c>
      <c r="C316" s="18" t="s">
        <v>347</v>
      </c>
      <c r="D316" s="32" t="s">
        <v>1419</v>
      </c>
      <c r="E316" s="5">
        <f>'ПДФО ГРОМАДИ'!M316</f>
        <v>0</v>
      </c>
      <c r="F316" s="5">
        <f>'ПДФО ГРОМАДИ'!N316</f>
        <v>16604.099999999999</v>
      </c>
    </row>
    <row r="317" spans="1:6" s="24" customFormat="1" ht="15.75" x14ac:dyDescent="0.25">
      <c r="A317" s="33" t="s">
        <v>765</v>
      </c>
      <c r="B317" s="34" t="s">
        <v>985</v>
      </c>
      <c r="C317" s="18" t="s">
        <v>348</v>
      </c>
      <c r="D317" s="32" t="s">
        <v>1420</v>
      </c>
      <c r="E317" s="5">
        <f>'ПДФО ГРОМАДИ'!M317</f>
        <v>0</v>
      </c>
      <c r="F317" s="5">
        <f>'ПДФО ГРОМАДИ'!N317</f>
        <v>0</v>
      </c>
    </row>
    <row r="318" spans="1:6" ht="15.75" x14ac:dyDescent="0.25">
      <c r="A318" s="33" t="s">
        <v>765</v>
      </c>
      <c r="B318" s="34" t="s">
        <v>985</v>
      </c>
      <c r="C318" s="18" t="s">
        <v>349</v>
      </c>
      <c r="D318" s="32" t="s">
        <v>1421</v>
      </c>
      <c r="E318" s="5">
        <f>'ПДФО ГРОМАДИ'!M318</f>
        <v>0</v>
      </c>
      <c r="F318" s="5">
        <f>'ПДФО ГРОМАДИ'!N318</f>
        <v>0</v>
      </c>
    </row>
    <row r="319" spans="1:6" ht="15.75" x14ac:dyDescent="0.25">
      <c r="A319" s="33" t="s">
        <v>765</v>
      </c>
      <c r="B319" s="34" t="s">
        <v>985</v>
      </c>
      <c r="C319" s="18" t="s">
        <v>350</v>
      </c>
      <c r="D319" s="32" t="s">
        <v>1422</v>
      </c>
      <c r="E319" s="5">
        <f>'ПДФО ГРОМАДИ'!M319</f>
        <v>0</v>
      </c>
      <c r="F319" s="5">
        <f>'ПДФО ГРОМАДИ'!N319</f>
        <v>20609.3</v>
      </c>
    </row>
    <row r="320" spans="1:6" ht="15.75" x14ac:dyDescent="0.25">
      <c r="A320" s="33" t="s">
        <v>765</v>
      </c>
      <c r="B320" s="34" t="s">
        <v>985</v>
      </c>
      <c r="C320" s="18" t="s">
        <v>351</v>
      </c>
      <c r="D320" s="32" t="s">
        <v>1423</v>
      </c>
      <c r="E320" s="5">
        <f>'ПДФО ГРОМАДИ'!M320</f>
        <v>0</v>
      </c>
      <c r="F320" s="5">
        <f>'ПДФО ГРОМАДИ'!N320</f>
        <v>7691.2</v>
      </c>
    </row>
    <row r="321" spans="1:6" ht="15.75" x14ac:dyDescent="0.25">
      <c r="A321" s="33" t="s">
        <v>765</v>
      </c>
      <c r="B321" s="34" t="s">
        <v>984</v>
      </c>
      <c r="C321" s="18" t="s">
        <v>352</v>
      </c>
      <c r="D321" s="32" t="s">
        <v>1424</v>
      </c>
      <c r="E321" s="5">
        <f>'ПДФО ГРОМАДИ'!M321</f>
        <v>1557.5</v>
      </c>
      <c r="F321" s="5">
        <f>'ПДФО ГРОМАДИ'!N321</f>
        <v>0</v>
      </c>
    </row>
    <row r="322" spans="1:6" ht="15.75" x14ac:dyDescent="0.25">
      <c r="A322" s="33" t="s">
        <v>765</v>
      </c>
      <c r="B322" s="34" t="s">
        <v>984</v>
      </c>
      <c r="C322" s="18" t="s">
        <v>353</v>
      </c>
      <c r="D322" s="32" t="s">
        <v>1425</v>
      </c>
      <c r="E322" s="5">
        <f>'ПДФО ГРОМАДИ'!M322</f>
        <v>0</v>
      </c>
      <c r="F322" s="5">
        <f>'ПДФО ГРОМАДИ'!N322</f>
        <v>11184</v>
      </c>
    </row>
    <row r="323" spans="1:6" ht="15.75" x14ac:dyDescent="0.25">
      <c r="A323" s="33" t="s">
        <v>765</v>
      </c>
      <c r="B323" s="34" t="s">
        <v>984</v>
      </c>
      <c r="C323" s="18" t="s">
        <v>354</v>
      </c>
      <c r="D323" s="32" t="s">
        <v>1426</v>
      </c>
      <c r="E323" s="5">
        <f>'ПДФО ГРОМАДИ'!M323</f>
        <v>0</v>
      </c>
      <c r="F323" s="5">
        <f>'ПДФО ГРОМАДИ'!N323</f>
        <v>7737.6</v>
      </c>
    </row>
    <row r="324" spans="1:6" ht="15.75" x14ac:dyDescent="0.25">
      <c r="A324" s="33" t="s">
        <v>765</v>
      </c>
      <c r="B324" s="34" t="s">
        <v>984</v>
      </c>
      <c r="C324" s="18" t="s">
        <v>355</v>
      </c>
      <c r="D324" s="32" t="s">
        <v>1427</v>
      </c>
      <c r="E324" s="5">
        <f>'ПДФО ГРОМАДИ'!M324</f>
        <v>0</v>
      </c>
      <c r="F324" s="5">
        <f>'ПДФО ГРОМАДИ'!N324</f>
        <v>0</v>
      </c>
    </row>
    <row r="325" spans="1:6" ht="15.75" x14ac:dyDescent="0.25">
      <c r="A325" s="33" t="s">
        <v>765</v>
      </c>
      <c r="B325" s="34" t="s">
        <v>984</v>
      </c>
      <c r="C325" s="18" t="s">
        <v>356</v>
      </c>
      <c r="D325" s="32" t="s">
        <v>1428</v>
      </c>
      <c r="E325" s="5">
        <f>'ПДФО ГРОМАДИ'!M325</f>
        <v>4162.3999999999996</v>
      </c>
      <c r="F325" s="5">
        <f>'ПДФО ГРОМАДИ'!N325</f>
        <v>0</v>
      </c>
    </row>
    <row r="326" spans="1:6" ht="15.75" x14ac:dyDescent="0.25">
      <c r="A326" s="33" t="s">
        <v>765</v>
      </c>
      <c r="B326" s="34" t="s">
        <v>984</v>
      </c>
      <c r="C326" s="18" t="s">
        <v>357</v>
      </c>
      <c r="D326" s="32" t="s">
        <v>1429</v>
      </c>
      <c r="E326" s="5">
        <f>'ПДФО ГРОМАДИ'!M326</f>
        <v>0</v>
      </c>
      <c r="F326" s="5">
        <f>'ПДФО ГРОМАДИ'!N326</f>
        <v>3593.4</v>
      </c>
    </row>
    <row r="327" spans="1:6" ht="15.75" x14ac:dyDescent="0.25">
      <c r="A327" s="33" t="s">
        <v>765</v>
      </c>
      <c r="B327" s="34" t="s">
        <v>984</v>
      </c>
      <c r="C327" s="18" t="s">
        <v>358</v>
      </c>
      <c r="D327" s="32" t="s">
        <v>1430</v>
      </c>
      <c r="E327" s="5">
        <f>'ПДФО ГРОМАДИ'!M327</f>
        <v>593.1</v>
      </c>
      <c r="F327" s="5">
        <f>'ПДФО ГРОМАДИ'!N327</f>
        <v>0</v>
      </c>
    </row>
    <row r="328" spans="1:6" ht="15.75" x14ac:dyDescent="0.25">
      <c r="A328" s="33" t="s">
        <v>765</v>
      </c>
      <c r="B328" s="34" t="s">
        <v>984</v>
      </c>
      <c r="C328" s="18" t="s">
        <v>359</v>
      </c>
      <c r="D328" s="32" t="s">
        <v>1431</v>
      </c>
      <c r="E328" s="5">
        <f>'ПДФО ГРОМАДИ'!M328</f>
        <v>0</v>
      </c>
      <c r="F328" s="5">
        <f>'ПДФО ГРОМАДИ'!N328</f>
        <v>0</v>
      </c>
    </row>
    <row r="329" spans="1:6" ht="15.75" x14ac:dyDescent="0.25">
      <c r="A329" s="33" t="s">
        <v>765</v>
      </c>
      <c r="B329" s="34" t="s">
        <v>984</v>
      </c>
      <c r="C329" s="18" t="s">
        <v>360</v>
      </c>
      <c r="D329" s="32" t="s">
        <v>1432</v>
      </c>
      <c r="E329" s="5">
        <f>'ПДФО ГРОМАДИ'!M329</f>
        <v>27515.599999999999</v>
      </c>
      <c r="F329" s="5">
        <f>'ПДФО ГРОМАДИ'!N329</f>
        <v>0</v>
      </c>
    </row>
    <row r="330" spans="1:6" ht="15.75" x14ac:dyDescent="0.25">
      <c r="A330" s="33" t="s">
        <v>765</v>
      </c>
      <c r="B330" s="34" t="s">
        <v>984</v>
      </c>
      <c r="C330" s="18" t="s">
        <v>361</v>
      </c>
      <c r="D330" s="32" t="s">
        <v>1433</v>
      </c>
      <c r="E330" s="5">
        <f>'ПДФО ГРОМАДИ'!M330</f>
        <v>4541</v>
      </c>
      <c r="F330" s="5">
        <f>'ПДФО ГРОМАДИ'!N330</f>
        <v>0</v>
      </c>
    </row>
    <row r="331" spans="1:6" ht="15.75" x14ac:dyDescent="0.25">
      <c r="A331" s="33" t="s">
        <v>765</v>
      </c>
      <c r="B331" s="34" t="s">
        <v>985</v>
      </c>
      <c r="C331" s="18" t="s">
        <v>549</v>
      </c>
      <c r="D331" s="32" t="s">
        <v>1434</v>
      </c>
      <c r="E331" s="5">
        <f>'ПДФО ГРОМАДИ'!M331</f>
        <v>0</v>
      </c>
      <c r="F331" s="5">
        <f>'ПДФО ГРОМАДИ'!N331</f>
        <v>21186.400000000001</v>
      </c>
    </row>
    <row r="332" spans="1:6" ht="15.75" x14ac:dyDescent="0.25">
      <c r="A332" s="33" t="s">
        <v>765</v>
      </c>
      <c r="B332" s="34" t="s">
        <v>985</v>
      </c>
      <c r="C332" s="18" t="s">
        <v>680</v>
      </c>
      <c r="D332" s="32" t="s">
        <v>1435</v>
      </c>
      <c r="E332" s="5">
        <f>'ПДФО ГРОМАДИ'!M332</f>
        <v>0</v>
      </c>
      <c r="F332" s="5">
        <f>'ПДФО ГРОМАДИ'!N332</f>
        <v>4878.8</v>
      </c>
    </row>
    <row r="333" spans="1:6" ht="15.75" x14ac:dyDescent="0.25">
      <c r="A333" s="33" t="s">
        <v>765</v>
      </c>
      <c r="B333" s="34" t="s">
        <v>984</v>
      </c>
      <c r="C333" s="18" t="s">
        <v>681</v>
      </c>
      <c r="D333" s="32" t="s">
        <v>1436</v>
      </c>
      <c r="E333" s="5">
        <f>'ПДФО ГРОМАДИ'!M333</f>
        <v>0</v>
      </c>
      <c r="F333" s="5">
        <f>'ПДФО ГРОМАДИ'!N333</f>
        <v>9788.2000000000007</v>
      </c>
    </row>
    <row r="334" spans="1:6" ht="15.75" x14ac:dyDescent="0.25">
      <c r="A334" s="33" t="s">
        <v>765</v>
      </c>
      <c r="B334" s="34" t="s">
        <v>984</v>
      </c>
      <c r="C334" s="18" t="s">
        <v>682</v>
      </c>
      <c r="D334" s="32" t="s">
        <v>1437</v>
      </c>
      <c r="E334" s="5">
        <f>'ПДФО ГРОМАДИ'!M334</f>
        <v>0</v>
      </c>
      <c r="F334" s="5">
        <f>'ПДФО ГРОМАДИ'!N334</f>
        <v>5102.1000000000004</v>
      </c>
    </row>
    <row r="335" spans="1:6" ht="15.75" x14ac:dyDescent="0.25">
      <c r="A335" s="33" t="s">
        <v>765</v>
      </c>
      <c r="B335" s="34" t="s">
        <v>984</v>
      </c>
      <c r="C335" s="18" t="s">
        <v>683</v>
      </c>
      <c r="D335" s="32" t="s">
        <v>1438</v>
      </c>
      <c r="E335" s="5">
        <f>'ПДФО ГРОМАДИ'!M335</f>
        <v>0</v>
      </c>
      <c r="F335" s="5">
        <f>'ПДФО ГРОМАДИ'!N335</f>
        <v>10000</v>
      </c>
    </row>
    <row r="336" spans="1:6" ht="15.75" x14ac:dyDescent="0.25">
      <c r="A336" s="33" t="s">
        <v>765</v>
      </c>
      <c r="B336" s="34" t="s">
        <v>983</v>
      </c>
      <c r="C336" s="18" t="s">
        <v>684</v>
      </c>
      <c r="D336" s="32" t="s">
        <v>1439</v>
      </c>
      <c r="E336" s="5">
        <f>'ПДФО ГРОМАДИ'!M336</f>
        <v>0</v>
      </c>
      <c r="F336" s="5">
        <f>'ПДФО ГРОМАДИ'!N336</f>
        <v>24003.5</v>
      </c>
    </row>
    <row r="337" spans="1:6" ht="15.75" x14ac:dyDescent="0.25">
      <c r="A337" s="33" t="s">
        <v>765</v>
      </c>
      <c r="B337" s="34" t="s">
        <v>984</v>
      </c>
      <c r="C337" s="18" t="s">
        <v>685</v>
      </c>
      <c r="D337" s="32" t="s">
        <v>1440</v>
      </c>
      <c r="E337" s="5">
        <f>'ПДФО ГРОМАДИ'!M337</f>
        <v>0</v>
      </c>
      <c r="F337" s="5">
        <f>'ПДФО ГРОМАДИ'!N337</f>
        <v>13600.1</v>
      </c>
    </row>
    <row r="338" spans="1:6" ht="15.75" x14ac:dyDescent="0.25">
      <c r="A338" s="33" t="s">
        <v>765</v>
      </c>
      <c r="B338" s="34" t="s">
        <v>985</v>
      </c>
      <c r="C338" s="18" t="s">
        <v>686</v>
      </c>
      <c r="D338" s="32" t="s">
        <v>1441</v>
      </c>
      <c r="E338" s="5">
        <f>'ПДФО ГРОМАДИ'!M338</f>
        <v>0</v>
      </c>
      <c r="F338" s="5">
        <f>'ПДФО ГРОМАДИ'!N338</f>
        <v>13188.5</v>
      </c>
    </row>
    <row r="339" spans="1:6" ht="15.75" x14ac:dyDescent="0.25">
      <c r="A339" s="33" t="s">
        <v>765</v>
      </c>
      <c r="B339" s="34" t="s">
        <v>983</v>
      </c>
      <c r="C339" s="18" t="s">
        <v>687</v>
      </c>
      <c r="D339" s="32" t="s">
        <v>1442</v>
      </c>
      <c r="E339" s="5">
        <f>'ПДФО ГРОМАДИ'!M339</f>
        <v>0</v>
      </c>
      <c r="F339" s="5">
        <f>'ПДФО ГРОМАДИ'!N339</f>
        <v>1110.4000000000001</v>
      </c>
    </row>
    <row r="340" spans="1:6" ht="15.75" x14ac:dyDescent="0.25">
      <c r="A340" s="33" t="s">
        <v>765</v>
      </c>
      <c r="B340" s="34" t="s">
        <v>984</v>
      </c>
      <c r="C340" s="18" t="s">
        <v>688</v>
      </c>
      <c r="D340" s="32" t="s">
        <v>1443</v>
      </c>
      <c r="E340" s="5">
        <f>'ПДФО ГРОМАДИ'!M340</f>
        <v>0</v>
      </c>
      <c r="F340" s="5">
        <f>'ПДФО ГРОМАДИ'!N340</f>
        <v>15884.4</v>
      </c>
    </row>
    <row r="341" spans="1:6" ht="15.75" x14ac:dyDescent="0.25">
      <c r="A341" s="33" t="s">
        <v>765</v>
      </c>
      <c r="B341" s="34" t="s">
        <v>984</v>
      </c>
      <c r="C341" s="18" t="s">
        <v>689</v>
      </c>
      <c r="D341" s="32" t="s">
        <v>1444</v>
      </c>
      <c r="E341" s="5">
        <f>'ПДФО ГРОМАДИ'!M341</f>
        <v>21501</v>
      </c>
      <c r="F341" s="5">
        <f>'ПДФО ГРОМАДИ'!N341</f>
        <v>0</v>
      </c>
    </row>
    <row r="342" spans="1:6" ht="15.75" x14ac:dyDescent="0.25">
      <c r="A342" s="33" t="s">
        <v>765</v>
      </c>
      <c r="B342" s="34" t="s">
        <v>984</v>
      </c>
      <c r="C342" s="18" t="s">
        <v>867</v>
      </c>
      <c r="D342" s="32" t="s">
        <v>1445</v>
      </c>
      <c r="E342" s="5">
        <f>'ПДФО ГРОМАДИ'!M342</f>
        <v>0</v>
      </c>
      <c r="F342" s="5">
        <f>'ПДФО ГРОМАДИ'!N342</f>
        <v>2042.6</v>
      </c>
    </row>
    <row r="343" spans="1:6" ht="15.75" x14ac:dyDescent="0.25">
      <c r="A343" s="33" t="s">
        <v>765</v>
      </c>
      <c r="B343" s="34" t="s">
        <v>984</v>
      </c>
      <c r="C343" s="18" t="s">
        <v>868</v>
      </c>
      <c r="D343" s="32" t="s">
        <v>1446</v>
      </c>
      <c r="E343" s="5">
        <f>'ПДФО ГРОМАДИ'!M343</f>
        <v>0</v>
      </c>
      <c r="F343" s="5">
        <f>'ПДФО ГРОМАДИ'!N343</f>
        <v>3942.4</v>
      </c>
    </row>
    <row r="344" spans="1:6" ht="15.75" x14ac:dyDescent="0.25">
      <c r="A344" s="33" t="s">
        <v>765</v>
      </c>
      <c r="B344" s="34" t="s">
        <v>985</v>
      </c>
      <c r="C344" s="18" t="s">
        <v>869</v>
      </c>
      <c r="D344" s="32" t="s">
        <v>1447</v>
      </c>
      <c r="E344" s="5">
        <f>'ПДФО ГРОМАДИ'!M344</f>
        <v>0</v>
      </c>
      <c r="F344" s="5">
        <f>'ПДФО ГРОМАДИ'!N344</f>
        <v>12461.8</v>
      </c>
    </row>
    <row r="345" spans="1:6" ht="15.75" x14ac:dyDescent="0.25">
      <c r="A345" s="33" t="s">
        <v>765</v>
      </c>
      <c r="B345" s="34" t="s">
        <v>984</v>
      </c>
      <c r="C345" s="18" t="s">
        <v>870</v>
      </c>
      <c r="D345" s="32" t="s">
        <v>1448</v>
      </c>
      <c r="E345" s="5">
        <f>'ПДФО ГРОМАДИ'!M345</f>
        <v>0</v>
      </c>
      <c r="F345" s="5">
        <f>'ПДФО ГРОМАДИ'!N345</f>
        <v>5749.7</v>
      </c>
    </row>
    <row r="346" spans="1:6" ht="15.75" x14ac:dyDescent="0.25">
      <c r="A346" s="33" t="s">
        <v>765</v>
      </c>
      <c r="B346" s="34" t="s">
        <v>983</v>
      </c>
      <c r="C346" s="18" t="s">
        <v>871</v>
      </c>
      <c r="D346" s="32" t="s">
        <v>1449</v>
      </c>
      <c r="E346" s="5">
        <f>'ПДФО ГРОМАДИ'!M346</f>
        <v>0</v>
      </c>
      <c r="F346" s="5">
        <f>'ПДФО ГРОМАДИ'!N346</f>
        <v>6078.2</v>
      </c>
    </row>
    <row r="347" spans="1:6" ht="15.75" x14ac:dyDescent="0.25">
      <c r="A347" s="33" t="s">
        <v>765</v>
      </c>
      <c r="B347" s="34" t="s">
        <v>984</v>
      </c>
      <c r="C347" s="18" t="s">
        <v>872</v>
      </c>
      <c r="D347" s="32" t="s">
        <v>1450</v>
      </c>
      <c r="E347" s="5">
        <f>'ПДФО ГРОМАДИ'!M347</f>
        <v>0</v>
      </c>
      <c r="F347" s="5">
        <f>'ПДФО ГРОМАДИ'!N347</f>
        <v>2784.8</v>
      </c>
    </row>
    <row r="348" spans="1:6" ht="15.75" x14ac:dyDescent="0.25">
      <c r="A348" s="33" t="s">
        <v>765</v>
      </c>
      <c r="B348" s="34" t="s">
        <v>986</v>
      </c>
      <c r="C348" s="30" t="s">
        <v>976</v>
      </c>
      <c r="D348" s="67" t="s">
        <v>1451</v>
      </c>
      <c r="E348" s="5">
        <f>'ПДФО ГРОМАДИ'!M348</f>
        <v>143619.4</v>
      </c>
      <c r="F348" s="5">
        <f>'ПДФО ГРОМАДИ'!N348</f>
        <v>0</v>
      </c>
    </row>
    <row r="349" spans="1:6" ht="15.75" x14ac:dyDescent="0.25">
      <c r="A349" s="33" t="s">
        <v>765</v>
      </c>
      <c r="B349" s="34" t="s">
        <v>986</v>
      </c>
      <c r="C349" s="30" t="s">
        <v>977</v>
      </c>
      <c r="D349" s="32" t="s">
        <v>1452</v>
      </c>
      <c r="E349" s="5">
        <f>'ПДФО ГРОМАДИ'!M349</f>
        <v>9205.5</v>
      </c>
      <c r="F349" s="5">
        <f>'ПДФО ГРОМАДИ'!N349</f>
        <v>0</v>
      </c>
    </row>
    <row r="350" spans="1:6" ht="15.75" x14ac:dyDescent="0.25">
      <c r="A350" s="33" t="s">
        <v>765</v>
      </c>
      <c r="B350" s="34" t="s">
        <v>984</v>
      </c>
      <c r="C350" s="30" t="s">
        <v>1022</v>
      </c>
      <c r="D350" s="32" t="s">
        <v>1453</v>
      </c>
      <c r="E350" s="5">
        <f>'ПДФО ГРОМАДИ'!M350</f>
        <v>0</v>
      </c>
      <c r="F350" s="5">
        <f>'ПДФО ГРОМАДИ'!N350</f>
        <v>1850.9</v>
      </c>
    </row>
    <row r="351" spans="1:6" ht="15.75" x14ac:dyDescent="0.25">
      <c r="A351" s="33" t="s">
        <v>765</v>
      </c>
      <c r="B351" s="34" t="s">
        <v>984</v>
      </c>
      <c r="C351" s="30" t="s">
        <v>1023</v>
      </c>
      <c r="D351" s="32" t="s">
        <v>1454</v>
      </c>
      <c r="E351" s="5">
        <f>'ПДФО ГРОМАДИ'!M351</f>
        <v>0</v>
      </c>
      <c r="F351" s="5">
        <f>'ПДФО ГРОМАДИ'!N351</f>
        <v>147</v>
      </c>
    </row>
    <row r="352" spans="1:6" ht="15.75" x14ac:dyDescent="0.25">
      <c r="A352" s="33" t="s">
        <v>765</v>
      </c>
      <c r="B352" s="34" t="s">
        <v>984</v>
      </c>
      <c r="C352" s="30" t="s">
        <v>1038</v>
      </c>
      <c r="D352" s="32" t="s">
        <v>1455</v>
      </c>
      <c r="E352" s="5">
        <f>'ПДФО ГРОМАДИ'!M352</f>
        <v>0</v>
      </c>
      <c r="F352" s="5">
        <f>'ПДФО ГРОМАДИ'!N352</f>
        <v>5699</v>
      </c>
    </row>
    <row r="353" spans="1:6" ht="15.75" x14ac:dyDescent="0.25">
      <c r="A353" s="33" t="s">
        <v>765</v>
      </c>
      <c r="B353" s="34" t="s">
        <v>983</v>
      </c>
      <c r="C353" s="30" t="s">
        <v>1456</v>
      </c>
      <c r="D353" s="32" t="s">
        <v>1457</v>
      </c>
      <c r="E353" s="5">
        <f>'ПДФО ГРОМАДИ'!M353</f>
        <v>0</v>
      </c>
      <c r="F353" s="5">
        <f>'ПДФО ГРОМАДИ'!N353</f>
        <v>5298.3</v>
      </c>
    </row>
    <row r="354" spans="1:6" ht="15.75" x14ac:dyDescent="0.25">
      <c r="A354" s="33" t="s">
        <v>765</v>
      </c>
      <c r="B354" s="34" t="s">
        <v>986</v>
      </c>
      <c r="C354" s="30" t="s">
        <v>1458</v>
      </c>
      <c r="D354" s="80" t="s">
        <v>1459</v>
      </c>
      <c r="E354" s="5">
        <f>'ПДФО ГРОМАДИ'!M354</f>
        <v>0</v>
      </c>
      <c r="F354" s="5">
        <f>'ПДФО ГРОМАДИ'!N354</f>
        <v>12785</v>
      </c>
    </row>
    <row r="355" spans="1:6" ht="15.75" x14ac:dyDescent="0.25">
      <c r="A355" s="33" t="s">
        <v>765</v>
      </c>
      <c r="B355" s="34" t="s">
        <v>984</v>
      </c>
      <c r="C355" s="30" t="s">
        <v>1460</v>
      </c>
      <c r="D355" s="80" t="s">
        <v>1461</v>
      </c>
      <c r="E355" s="5">
        <f>'ПДФО ГРОМАДИ'!M355</f>
        <v>0</v>
      </c>
      <c r="F355" s="5">
        <f>'ПДФО ГРОМАДИ'!N355</f>
        <v>8957.6</v>
      </c>
    </row>
    <row r="356" spans="1:6" ht="15.75" x14ac:dyDescent="0.25">
      <c r="A356" s="33" t="s">
        <v>765</v>
      </c>
      <c r="B356" s="34" t="s">
        <v>984</v>
      </c>
      <c r="C356" s="30" t="s">
        <v>1462</v>
      </c>
      <c r="D356" s="80" t="s">
        <v>1463</v>
      </c>
      <c r="E356" s="5">
        <f>'ПДФО ГРОМАДИ'!M356</f>
        <v>0</v>
      </c>
      <c r="F356" s="5">
        <f>'ПДФО ГРОМАДИ'!N356</f>
        <v>130.80000000000001</v>
      </c>
    </row>
    <row r="357" spans="1:6" ht="15.75" x14ac:dyDescent="0.25">
      <c r="A357" s="33" t="s">
        <v>765</v>
      </c>
      <c r="B357" s="34" t="s">
        <v>984</v>
      </c>
      <c r="C357" s="30" t="s">
        <v>1464</v>
      </c>
      <c r="D357" s="80" t="s">
        <v>1465</v>
      </c>
      <c r="E357" s="5">
        <f>'ПДФО ГРОМАДИ'!M357</f>
        <v>0</v>
      </c>
      <c r="F357" s="5">
        <f>'ПДФО ГРОМАДИ'!N357</f>
        <v>2534.3000000000002</v>
      </c>
    </row>
    <row r="358" spans="1:6" ht="15.75" x14ac:dyDescent="0.25">
      <c r="A358" s="33" t="s">
        <v>765</v>
      </c>
      <c r="B358" s="34" t="s">
        <v>985</v>
      </c>
      <c r="C358" s="30" t="s">
        <v>1466</v>
      </c>
      <c r="D358" s="80" t="s">
        <v>1467</v>
      </c>
      <c r="E358" s="5">
        <f>'ПДФО ГРОМАДИ'!M358</f>
        <v>352.4</v>
      </c>
      <c r="F358" s="5">
        <f>'ПДФО ГРОМАДИ'!N358</f>
        <v>0</v>
      </c>
    </row>
    <row r="359" spans="1:6" ht="15.75" x14ac:dyDescent="0.25">
      <c r="A359" s="33" t="s">
        <v>765</v>
      </c>
      <c r="B359" s="34" t="s">
        <v>986</v>
      </c>
      <c r="C359" s="30" t="s">
        <v>1468</v>
      </c>
      <c r="D359" s="80" t="s">
        <v>1469</v>
      </c>
      <c r="E359" s="5">
        <f>'ПДФО ГРОМАДИ'!M359</f>
        <v>0</v>
      </c>
      <c r="F359" s="5">
        <f>'ПДФО ГРОМАДИ'!N359</f>
        <v>0</v>
      </c>
    </row>
    <row r="360" spans="1:6" ht="15.75" x14ac:dyDescent="0.25">
      <c r="A360" s="33" t="s">
        <v>765</v>
      </c>
      <c r="B360" s="34" t="s">
        <v>986</v>
      </c>
      <c r="C360" s="30" t="s">
        <v>1470</v>
      </c>
      <c r="D360" s="80" t="s">
        <v>1471</v>
      </c>
      <c r="E360" s="5">
        <f>'ПДФО ГРОМАДИ'!M360</f>
        <v>0</v>
      </c>
      <c r="F360" s="5">
        <f>'ПДФО ГРОМАДИ'!N360</f>
        <v>0</v>
      </c>
    </row>
    <row r="361" spans="1:6" ht="15.75" x14ac:dyDescent="0.25">
      <c r="A361" s="33" t="s">
        <v>765</v>
      </c>
      <c r="B361" s="34" t="s">
        <v>985</v>
      </c>
      <c r="C361" s="30" t="s">
        <v>1472</v>
      </c>
      <c r="D361" s="80" t="s">
        <v>1473</v>
      </c>
      <c r="E361" s="5">
        <f>'ПДФО ГРОМАДИ'!M361</f>
        <v>713.1</v>
      </c>
      <c r="F361" s="5">
        <f>'ПДФО ГРОМАДИ'!N361</f>
        <v>0</v>
      </c>
    </row>
    <row r="362" spans="1:6" ht="15.75" x14ac:dyDescent="0.25">
      <c r="A362" s="33" t="s">
        <v>765</v>
      </c>
      <c r="B362" s="34" t="s">
        <v>985</v>
      </c>
      <c r="C362" s="30" t="s">
        <v>1474</v>
      </c>
      <c r="D362" s="80" t="s">
        <v>1475</v>
      </c>
      <c r="E362" s="5">
        <f>'ПДФО ГРОМАДИ'!M362</f>
        <v>0</v>
      </c>
      <c r="F362" s="5">
        <f>'ПДФО ГРОМАДИ'!N362</f>
        <v>14950.6</v>
      </c>
    </row>
    <row r="363" spans="1:6" ht="15.75" x14ac:dyDescent="0.25">
      <c r="A363" s="33" t="s">
        <v>765</v>
      </c>
      <c r="B363" s="34" t="s">
        <v>985</v>
      </c>
      <c r="C363" s="30" t="s">
        <v>1476</v>
      </c>
      <c r="D363" s="80" t="s">
        <v>1477</v>
      </c>
      <c r="E363" s="5">
        <f>'ПДФО ГРОМАДИ'!M363</f>
        <v>0</v>
      </c>
      <c r="F363" s="5">
        <f>'ПДФО ГРОМАДИ'!N363</f>
        <v>6508.5</v>
      </c>
    </row>
    <row r="364" spans="1:6" ht="15.75" x14ac:dyDescent="0.25">
      <c r="A364" s="33" t="s">
        <v>765</v>
      </c>
      <c r="B364" s="34" t="s">
        <v>985</v>
      </c>
      <c r="C364" s="30" t="s">
        <v>1478</v>
      </c>
      <c r="D364" s="80" t="s">
        <v>1479</v>
      </c>
      <c r="E364" s="5">
        <f>'ПДФО ГРОМАДИ'!M364</f>
        <v>0</v>
      </c>
      <c r="F364" s="5">
        <f>'ПДФО ГРОМАДИ'!N364</f>
        <v>11553.5</v>
      </c>
    </row>
    <row r="365" spans="1:6" ht="15.75" x14ac:dyDescent="0.25">
      <c r="A365" s="33" t="s">
        <v>765</v>
      </c>
      <c r="B365" s="34" t="s">
        <v>984</v>
      </c>
      <c r="C365" s="30" t="s">
        <v>1480</v>
      </c>
      <c r="D365" s="80" t="s">
        <v>1481</v>
      </c>
      <c r="E365" s="5">
        <f>'ПДФО ГРОМАДИ'!M365</f>
        <v>0</v>
      </c>
      <c r="F365" s="5">
        <f>'ПДФО ГРОМАДИ'!N365</f>
        <v>7048.3</v>
      </c>
    </row>
    <row r="366" spans="1:6" ht="15.75" x14ac:dyDescent="0.25">
      <c r="A366" s="17" t="s">
        <v>769</v>
      </c>
      <c r="B366" s="17" t="s">
        <v>7</v>
      </c>
      <c r="C366" s="17" t="s">
        <v>770</v>
      </c>
      <c r="D366" s="11" t="s">
        <v>843</v>
      </c>
      <c r="E366" s="11">
        <f>E367+E368+E375</f>
        <v>188462</v>
      </c>
      <c r="F366" s="11">
        <f>F367+F368+F375</f>
        <v>1574370.7999999998</v>
      </c>
    </row>
    <row r="367" spans="1:6" ht="15.75" x14ac:dyDescent="0.25">
      <c r="A367" s="33" t="s">
        <v>769</v>
      </c>
      <c r="B367" s="34" t="s">
        <v>6</v>
      </c>
      <c r="C367" s="18" t="s">
        <v>79</v>
      </c>
      <c r="D367" s="32" t="s">
        <v>844</v>
      </c>
      <c r="E367" s="5">
        <f>'ПДФО ОБЛАСНІ'!K9+'ПОДАТОК НА ПРИБУТОК'!K9</f>
        <v>0</v>
      </c>
      <c r="F367" s="5">
        <f>'ПДФО ОБЛАСНІ'!L9+'ПОДАТОК НА ПРИБУТОК'!L9</f>
        <v>278030.7</v>
      </c>
    </row>
    <row r="368" spans="1:6" ht="15.75" x14ac:dyDescent="0.25">
      <c r="A368" s="19" t="s">
        <v>769</v>
      </c>
      <c r="B368" s="19" t="s">
        <v>5</v>
      </c>
      <c r="C368" s="19" t="s">
        <v>771</v>
      </c>
      <c r="D368" s="7" t="s">
        <v>2799</v>
      </c>
      <c r="E368" s="7">
        <f>SUM(E369:E374)</f>
        <v>0</v>
      </c>
      <c r="F368" s="7">
        <f>SUM(F369:F374)</f>
        <v>0</v>
      </c>
    </row>
    <row r="369" spans="1:6" ht="15.75" x14ac:dyDescent="0.25">
      <c r="A369" s="33" t="s">
        <v>769</v>
      </c>
      <c r="B369" s="34" t="s">
        <v>4</v>
      </c>
      <c r="C369" s="18" t="s">
        <v>80</v>
      </c>
      <c r="D369" s="32" t="s">
        <v>900</v>
      </c>
      <c r="E369" s="5">
        <f>'ПДФО ГРОМАДИ'!M369</f>
        <v>0</v>
      </c>
      <c r="F369" s="5">
        <f>'ПДФО ГРОМАДИ'!N369</f>
        <v>0</v>
      </c>
    </row>
    <row r="370" spans="1:6" ht="15.75" x14ac:dyDescent="0.25">
      <c r="A370" s="33" t="s">
        <v>769</v>
      </c>
      <c r="B370" s="34" t="s">
        <v>4</v>
      </c>
      <c r="C370" s="18" t="s">
        <v>81</v>
      </c>
      <c r="D370" s="32" t="s">
        <v>901</v>
      </c>
      <c r="E370" s="5">
        <f>'ПДФО ГРОМАДИ'!M370</f>
        <v>0</v>
      </c>
      <c r="F370" s="5">
        <f>'ПДФО ГРОМАДИ'!N370</f>
        <v>0</v>
      </c>
    </row>
    <row r="371" spans="1:6" ht="15.75" x14ac:dyDescent="0.25">
      <c r="A371" s="33" t="s">
        <v>769</v>
      </c>
      <c r="B371" s="34" t="s">
        <v>4</v>
      </c>
      <c r="C371" s="18" t="s">
        <v>2741</v>
      </c>
      <c r="D371" s="32" t="s">
        <v>2742</v>
      </c>
      <c r="E371" s="5">
        <f>'ПДФО ГРОМАДИ'!M371</f>
        <v>0</v>
      </c>
      <c r="F371" s="5">
        <f>'ПДФО ГРОМАДИ'!N371</f>
        <v>0</v>
      </c>
    </row>
    <row r="372" spans="1:6" ht="15.75" x14ac:dyDescent="0.25">
      <c r="A372" s="33" t="s">
        <v>769</v>
      </c>
      <c r="B372" s="34" t="s">
        <v>4</v>
      </c>
      <c r="C372" s="18" t="s">
        <v>82</v>
      </c>
      <c r="D372" s="32" t="s">
        <v>902</v>
      </c>
      <c r="E372" s="5">
        <f>'ПДФО ГРОМАДИ'!M372</f>
        <v>0</v>
      </c>
      <c r="F372" s="5">
        <f>'ПДФО ГРОМАДИ'!N372</f>
        <v>0</v>
      </c>
    </row>
    <row r="373" spans="1:6" ht="15.75" x14ac:dyDescent="0.25">
      <c r="A373" s="33" t="s">
        <v>769</v>
      </c>
      <c r="B373" s="34" t="s">
        <v>4</v>
      </c>
      <c r="C373" s="18" t="s">
        <v>83</v>
      </c>
      <c r="D373" s="32" t="s">
        <v>903</v>
      </c>
      <c r="E373" s="5">
        <f>'ПДФО ГРОМАДИ'!M373</f>
        <v>0</v>
      </c>
      <c r="F373" s="5">
        <f>'ПДФО ГРОМАДИ'!N373</f>
        <v>0</v>
      </c>
    </row>
    <row r="374" spans="1:6" ht="23.25" customHeight="1" x14ac:dyDescent="0.25">
      <c r="A374" s="33" t="s">
        <v>769</v>
      </c>
      <c r="B374" s="34" t="s">
        <v>4</v>
      </c>
      <c r="C374" s="18" t="s">
        <v>84</v>
      </c>
      <c r="D374" s="32" t="s">
        <v>904</v>
      </c>
      <c r="E374" s="5">
        <f>'ПДФО ГРОМАДИ'!M374</f>
        <v>0</v>
      </c>
      <c r="F374" s="5">
        <f>'ПДФО ГРОМАДИ'!N374</f>
        <v>0</v>
      </c>
    </row>
    <row r="375" spans="1:6" ht="15.75" x14ac:dyDescent="0.25">
      <c r="A375" s="19" t="s">
        <v>769</v>
      </c>
      <c r="B375" s="19" t="s">
        <v>28</v>
      </c>
      <c r="C375" s="19" t="s">
        <v>772</v>
      </c>
      <c r="D375" s="20" t="s">
        <v>2773</v>
      </c>
      <c r="E375" s="7">
        <f>SUM(E376:E439)</f>
        <v>188462</v>
      </c>
      <c r="F375" s="7">
        <f>SUM(F376:F439)</f>
        <v>1296340.0999999999</v>
      </c>
    </row>
    <row r="376" spans="1:6" ht="15.75" x14ac:dyDescent="0.25">
      <c r="A376" s="33" t="s">
        <v>769</v>
      </c>
      <c r="B376" s="34" t="s">
        <v>984</v>
      </c>
      <c r="C376" s="18" t="s">
        <v>230</v>
      </c>
      <c r="D376" s="32" t="s">
        <v>1482</v>
      </c>
      <c r="E376" s="5">
        <f>'ПДФО ГРОМАДИ'!M376</f>
        <v>0</v>
      </c>
      <c r="F376" s="5">
        <f>'ПДФО ГРОМАДИ'!N376</f>
        <v>22826.3</v>
      </c>
    </row>
    <row r="377" spans="1:6" ht="15.75" x14ac:dyDescent="0.25">
      <c r="A377" s="33" t="s">
        <v>769</v>
      </c>
      <c r="B377" s="34" t="s">
        <v>983</v>
      </c>
      <c r="C377" s="18" t="s">
        <v>231</v>
      </c>
      <c r="D377" s="32" t="s">
        <v>1483</v>
      </c>
      <c r="E377" s="5">
        <f>'ПДФО ГРОМАДИ'!M377</f>
        <v>2031.8</v>
      </c>
      <c r="F377" s="5">
        <f>'ПДФО ГРОМАДИ'!N377</f>
        <v>0</v>
      </c>
    </row>
    <row r="378" spans="1:6" ht="15.75" x14ac:dyDescent="0.25">
      <c r="A378" s="33" t="s">
        <v>769</v>
      </c>
      <c r="B378" s="34" t="s">
        <v>984</v>
      </c>
      <c r="C378" s="18" t="s">
        <v>362</v>
      </c>
      <c r="D378" s="32" t="s">
        <v>1484</v>
      </c>
      <c r="E378" s="5">
        <f>'ПДФО ГРОМАДИ'!M378</f>
        <v>0</v>
      </c>
      <c r="F378" s="5">
        <f>'ПДФО ГРОМАДИ'!N378</f>
        <v>16351.6</v>
      </c>
    </row>
    <row r="379" spans="1:6" ht="15.75" x14ac:dyDescent="0.25">
      <c r="A379" s="33" t="s">
        <v>769</v>
      </c>
      <c r="B379" s="34" t="s">
        <v>983</v>
      </c>
      <c r="C379" s="18" t="s">
        <v>474</v>
      </c>
      <c r="D379" s="32" t="s">
        <v>1485</v>
      </c>
      <c r="E379" s="5">
        <f>'ПДФО ГРОМАДИ'!M379</f>
        <v>0</v>
      </c>
      <c r="F379" s="5">
        <f>'ПДФО ГРОМАДИ'!N379</f>
        <v>35483.199999999997</v>
      </c>
    </row>
    <row r="380" spans="1:6" ht="15.75" x14ac:dyDescent="0.25">
      <c r="A380" s="33" t="s">
        <v>769</v>
      </c>
      <c r="B380" s="34" t="s">
        <v>983</v>
      </c>
      <c r="C380" s="18" t="s">
        <v>475</v>
      </c>
      <c r="D380" s="32" t="s">
        <v>1486</v>
      </c>
      <c r="E380" s="5">
        <f>'ПДФО ГРОМАДИ'!M380</f>
        <v>0</v>
      </c>
      <c r="F380" s="5">
        <f>'ПДФО ГРОМАДИ'!N380</f>
        <v>1213</v>
      </c>
    </row>
    <row r="381" spans="1:6" ht="15.75" x14ac:dyDescent="0.25">
      <c r="A381" s="33" t="s">
        <v>769</v>
      </c>
      <c r="B381" s="34" t="s">
        <v>984</v>
      </c>
      <c r="C381" s="18" t="s">
        <v>550</v>
      </c>
      <c r="D381" s="32" t="s">
        <v>1487</v>
      </c>
      <c r="E381" s="5">
        <f>'ПДФО ГРОМАДИ'!M381</f>
        <v>0</v>
      </c>
      <c r="F381" s="5">
        <f>'ПДФО ГРОМАДИ'!N381</f>
        <v>9183</v>
      </c>
    </row>
    <row r="382" spans="1:6" ht="15.75" x14ac:dyDescent="0.25">
      <c r="A382" s="33" t="s">
        <v>769</v>
      </c>
      <c r="B382" s="34" t="s">
        <v>986</v>
      </c>
      <c r="C382" s="30" t="s">
        <v>978</v>
      </c>
      <c r="D382" s="32" t="s">
        <v>1488</v>
      </c>
      <c r="E382" s="5">
        <f>'ПДФО ГРОМАДИ'!M382</f>
        <v>18586</v>
      </c>
      <c r="F382" s="5">
        <f>'ПДФО ГРОМАДИ'!N382</f>
        <v>0</v>
      </c>
    </row>
    <row r="383" spans="1:6" ht="15.75" x14ac:dyDescent="0.25">
      <c r="A383" s="33" t="s">
        <v>769</v>
      </c>
      <c r="B383" s="34" t="s">
        <v>985</v>
      </c>
      <c r="C383" s="30" t="s">
        <v>1489</v>
      </c>
      <c r="D383" s="32" t="s">
        <v>1490</v>
      </c>
      <c r="E383" s="5">
        <f>'ПДФО ГРОМАДИ'!M383</f>
        <v>0</v>
      </c>
      <c r="F383" s="5">
        <f>'ПДФО ГРОМАДИ'!N383</f>
        <v>773.5</v>
      </c>
    </row>
    <row r="384" spans="1:6" ht="15.75" x14ac:dyDescent="0.25">
      <c r="A384" s="33" t="s">
        <v>769</v>
      </c>
      <c r="B384" s="34" t="s">
        <v>984</v>
      </c>
      <c r="C384" s="30" t="s">
        <v>1491</v>
      </c>
      <c r="D384" s="32" t="s">
        <v>1492</v>
      </c>
      <c r="E384" s="5">
        <f>'ПДФО ГРОМАДИ'!M384</f>
        <v>0</v>
      </c>
      <c r="F384" s="5">
        <f>'ПДФО ГРОМАДИ'!N384</f>
        <v>16955.7</v>
      </c>
    </row>
    <row r="385" spans="1:6" ht="15.75" x14ac:dyDescent="0.25">
      <c r="A385" s="33" t="s">
        <v>769</v>
      </c>
      <c r="B385" s="34" t="s">
        <v>984</v>
      </c>
      <c r="C385" s="30" t="s">
        <v>1493</v>
      </c>
      <c r="D385" s="32" t="s">
        <v>1494</v>
      </c>
      <c r="E385" s="5">
        <f>'ПДФО ГРОМАДИ'!M385</f>
        <v>0</v>
      </c>
      <c r="F385" s="5">
        <f>'ПДФО ГРОМАДИ'!N385</f>
        <v>31629.1</v>
      </c>
    </row>
    <row r="386" spans="1:6" ht="15.75" x14ac:dyDescent="0.25">
      <c r="A386" s="33" t="s">
        <v>769</v>
      </c>
      <c r="B386" s="34" t="s">
        <v>984</v>
      </c>
      <c r="C386" s="30" t="s">
        <v>1039</v>
      </c>
      <c r="D386" s="32" t="s">
        <v>1495</v>
      </c>
      <c r="E386" s="5">
        <f>'ПДФО ГРОМАДИ'!M386</f>
        <v>0</v>
      </c>
      <c r="F386" s="5">
        <f>'ПДФО ГРОМАДИ'!N386</f>
        <v>12267.1</v>
      </c>
    </row>
    <row r="387" spans="1:6" ht="15.75" x14ac:dyDescent="0.25">
      <c r="A387" s="33" t="s">
        <v>769</v>
      </c>
      <c r="B387" s="34" t="s">
        <v>984</v>
      </c>
      <c r="C387" s="30" t="s">
        <v>1040</v>
      </c>
      <c r="D387" s="32" t="s">
        <v>1496</v>
      </c>
      <c r="E387" s="5">
        <f>'ПДФО ГРОМАДИ'!M387</f>
        <v>0</v>
      </c>
      <c r="F387" s="5">
        <f>'ПДФО ГРОМАДИ'!N387</f>
        <v>18061</v>
      </c>
    </row>
    <row r="388" spans="1:6" ht="15.75" x14ac:dyDescent="0.25">
      <c r="A388" s="33" t="s">
        <v>769</v>
      </c>
      <c r="B388" s="34" t="s">
        <v>984</v>
      </c>
      <c r="C388" s="30" t="s">
        <v>1497</v>
      </c>
      <c r="D388" s="32" t="s">
        <v>1498</v>
      </c>
      <c r="E388" s="5">
        <f>'ПДФО ГРОМАДИ'!M388</f>
        <v>0</v>
      </c>
      <c r="F388" s="5">
        <f>'ПДФО ГРОМАДИ'!N388</f>
        <v>30348.799999999999</v>
      </c>
    </row>
    <row r="389" spans="1:6" ht="15.75" x14ac:dyDescent="0.25">
      <c r="A389" s="33" t="s">
        <v>769</v>
      </c>
      <c r="B389" s="34" t="s">
        <v>984</v>
      </c>
      <c r="C389" s="30" t="s">
        <v>1041</v>
      </c>
      <c r="D389" s="32" t="s">
        <v>1499</v>
      </c>
      <c r="E389" s="5">
        <f>'ПДФО ГРОМАДИ'!M389</f>
        <v>0</v>
      </c>
      <c r="F389" s="5">
        <f>'ПДФО ГРОМАДИ'!N389</f>
        <v>4978.2</v>
      </c>
    </row>
    <row r="390" spans="1:6" ht="15.75" x14ac:dyDescent="0.25">
      <c r="A390" s="33" t="s">
        <v>769</v>
      </c>
      <c r="B390" s="34" t="s">
        <v>984</v>
      </c>
      <c r="C390" s="30" t="s">
        <v>1500</v>
      </c>
      <c r="D390" s="32" t="s">
        <v>1501</v>
      </c>
      <c r="E390" s="5">
        <f>'ПДФО ГРОМАДИ'!M390</f>
        <v>1368.8</v>
      </c>
      <c r="F390" s="5">
        <f>'ПДФО ГРОМАДИ'!N390</f>
        <v>0</v>
      </c>
    </row>
    <row r="391" spans="1:6" ht="15.75" x14ac:dyDescent="0.25">
      <c r="A391" s="33" t="s">
        <v>769</v>
      </c>
      <c r="B391" s="34" t="s">
        <v>984</v>
      </c>
      <c r="C391" s="30" t="s">
        <v>1502</v>
      </c>
      <c r="D391" s="32" t="s">
        <v>1503</v>
      </c>
      <c r="E391" s="5">
        <f>'ПДФО ГРОМАДИ'!M391</f>
        <v>25789.1</v>
      </c>
      <c r="F391" s="5">
        <f>'ПДФО ГРОМАДИ'!N391</f>
        <v>0</v>
      </c>
    </row>
    <row r="392" spans="1:6" ht="15.75" x14ac:dyDescent="0.25">
      <c r="A392" s="33" t="s">
        <v>769</v>
      </c>
      <c r="B392" s="34" t="s">
        <v>986</v>
      </c>
      <c r="C392" s="30" t="s">
        <v>1504</v>
      </c>
      <c r="D392" s="32" t="s">
        <v>1505</v>
      </c>
      <c r="E392" s="5">
        <f>'ПДФО ГРОМАДИ'!M392</f>
        <v>0</v>
      </c>
      <c r="F392" s="5">
        <f>'ПДФО ГРОМАДИ'!N392</f>
        <v>21340</v>
      </c>
    </row>
    <row r="393" spans="1:6" ht="15.75" x14ac:dyDescent="0.25">
      <c r="A393" s="33" t="s">
        <v>769</v>
      </c>
      <c r="B393" s="34" t="s">
        <v>985</v>
      </c>
      <c r="C393" s="30" t="s">
        <v>1506</v>
      </c>
      <c r="D393" s="32" t="s">
        <v>1507</v>
      </c>
      <c r="E393" s="5">
        <f>'ПДФО ГРОМАДИ'!M393</f>
        <v>0</v>
      </c>
      <c r="F393" s="5">
        <f>'ПДФО ГРОМАДИ'!N393</f>
        <v>18735.599999999999</v>
      </c>
    </row>
    <row r="394" spans="1:6" ht="15.75" x14ac:dyDescent="0.25">
      <c r="A394" s="33" t="s">
        <v>769</v>
      </c>
      <c r="B394" s="34" t="s">
        <v>984</v>
      </c>
      <c r="C394" s="30" t="s">
        <v>1508</v>
      </c>
      <c r="D394" s="32" t="s">
        <v>1509</v>
      </c>
      <c r="E394" s="5">
        <f>'ПДФО ГРОМАДИ'!M394</f>
        <v>0</v>
      </c>
      <c r="F394" s="5">
        <f>'ПДФО ГРОМАДИ'!N394</f>
        <v>12224.7</v>
      </c>
    </row>
    <row r="395" spans="1:6" ht="15.75" x14ac:dyDescent="0.25">
      <c r="A395" s="33" t="s">
        <v>769</v>
      </c>
      <c r="B395" s="34" t="s">
        <v>984</v>
      </c>
      <c r="C395" s="30" t="s">
        <v>1510</v>
      </c>
      <c r="D395" s="32" t="s">
        <v>1511</v>
      </c>
      <c r="E395" s="5">
        <f>'ПДФО ГРОМАДИ'!M395</f>
        <v>0</v>
      </c>
      <c r="F395" s="5">
        <f>'ПДФО ГРОМАДИ'!N395</f>
        <v>37876.5</v>
      </c>
    </row>
    <row r="396" spans="1:6" ht="15.75" x14ac:dyDescent="0.25">
      <c r="A396" s="33" t="s">
        <v>769</v>
      </c>
      <c r="B396" s="34" t="s">
        <v>984</v>
      </c>
      <c r="C396" s="30" t="s">
        <v>1512</v>
      </c>
      <c r="D396" s="32" t="s">
        <v>1513</v>
      </c>
      <c r="E396" s="5">
        <f>'ПДФО ГРОМАДИ'!M396</f>
        <v>0</v>
      </c>
      <c r="F396" s="5">
        <f>'ПДФО ГРОМАДИ'!N396</f>
        <v>16402</v>
      </c>
    </row>
    <row r="397" spans="1:6" ht="15.75" x14ac:dyDescent="0.25">
      <c r="A397" s="33" t="s">
        <v>769</v>
      </c>
      <c r="B397" s="34" t="s">
        <v>985</v>
      </c>
      <c r="C397" s="30" t="s">
        <v>1514</v>
      </c>
      <c r="D397" s="32" t="s">
        <v>1515</v>
      </c>
      <c r="E397" s="5">
        <f>'ПДФО ГРОМАДИ'!M397</f>
        <v>0</v>
      </c>
      <c r="F397" s="5">
        <f>'ПДФО ГРОМАДИ'!N397</f>
        <v>49339.5</v>
      </c>
    </row>
    <row r="398" spans="1:6" ht="15.75" x14ac:dyDescent="0.25">
      <c r="A398" s="33" t="s">
        <v>769</v>
      </c>
      <c r="B398" s="34" t="s">
        <v>984</v>
      </c>
      <c r="C398" s="30" t="s">
        <v>1516</v>
      </c>
      <c r="D398" s="32" t="s">
        <v>1517</v>
      </c>
      <c r="E398" s="5">
        <f>'ПДФО ГРОМАДИ'!M398</f>
        <v>0</v>
      </c>
      <c r="F398" s="5">
        <f>'ПДФО ГРОМАДИ'!N398</f>
        <v>9833.7000000000007</v>
      </c>
    </row>
    <row r="399" spans="1:6" ht="15.75" x14ac:dyDescent="0.25">
      <c r="A399" s="33" t="s">
        <v>769</v>
      </c>
      <c r="B399" s="34" t="s">
        <v>984</v>
      </c>
      <c r="C399" s="30" t="s">
        <v>1518</v>
      </c>
      <c r="D399" s="32" t="s">
        <v>1519</v>
      </c>
      <c r="E399" s="5">
        <f>'ПДФО ГРОМАДИ'!M399</f>
        <v>0</v>
      </c>
      <c r="F399" s="5">
        <f>'ПДФО ГРОМАДИ'!N399</f>
        <v>10619.4</v>
      </c>
    </row>
    <row r="400" spans="1:6" ht="15.75" x14ac:dyDescent="0.25">
      <c r="A400" s="33" t="s">
        <v>769</v>
      </c>
      <c r="B400" s="34" t="s">
        <v>985</v>
      </c>
      <c r="C400" s="30" t="s">
        <v>1520</v>
      </c>
      <c r="D400" s="32" t="s">
        <v>1521</v>
      </c>
      <c r="E400" s="5">
        <f>'ПДФО ГРОМАДИ'!M400</f>
        <v>0</v>
      </c>
      <c r="F400" s="5">
        <f>'ПДФО ГРОМАДИ'!N400</f>
        <v>48091.199999999997</v>
      </c>
    </row>
    <row r="401" spans="1:6" ht="15.75" x14ac:dyDescent="0.25">
      <c r="A401" s="33" t="s">
        <v>769</v>
      </c>
      <c r="B401" s="34" t="s">
        <v>984</v>
      </c>
      <c r="C401" s="30" t="s">
        <v>1522</v>
      </c>
      <c r="D401" s="32" t="s">
        <v>1523</v>
      </c>
      <c r="E401" s="5">
        <f>'ПДФО ГРОМАДИ'!M401</f>
        <v>0</v>
      </c>
      <c r="F401" s="5">
        <f>'ПДФО ГРОМАДИ'!N401</f>
        <v>21121.200000000001</v>
      </c>
    </row>
    <row r="402" spans="1:6" ht="15.75" x14ac:dyDescent="0.25">
      <c r="A402" s="33" t="s">
        <v>769</v>
      </c>
      <c r="B402" s="34" t="s">
        <v>984</v>
      </c>
      <c r="C402" s="30" t="s">
        <v>1524</v>
      </c>
      <c r="D402" s="32" t="s">
        <v>1525</v>
      </c>
      <c r="E402" s="5">
        <f>'ПДФО ГРОМАДИ'!M402</f>
        <v>0</v>
      </c>
      <c r="F402" s="5">
        <f>'ПДФО ГРОМАДИ'!N402</f>
        <v>34677.800000000003</v>
      </c>
    </row>
    <row r="403" spans="1:6" ht="15.75" x14ac:dyDescent="0.25">
      <c r="A403" s="33" t="s">
        <v>769</v>
      </c>
      <c r="B403" s="34" t="s">
        <v>984</v>
      </c>
      <c r="C403" s="30" t="s">
        <v>1526</v>
      </c>
      <c r="D403" s="32" t="s">
        <v>1527</v>
      </c>
      <c r="E403" s="5">
        <f>'ПДФО ГРОМАДИ'!M403</f>
        <v>0</v>
      </c>
      <c r="F403" s="5">
        <f>'ПДФО ГРОМАДИ'!N403</f>
        <v>11232.8</v>
      </c>
    </row>
    <row r="404" spans="1:6" ht="15.75" x14ac:dyDescent="0.25">
      <c r="A404" s="33" t="s">
        <v>769</v>
      </c>
      <c r="B404" s="34" t="s">
        <v>985</v>
      </c>
      <c r="C404" s="30" t="s">
        <v>1528</v>
      </c>
      <c r="D404" s="32" t="s">
        <v>1529</v>
      </c>
      <c r="E404" s="5">
        <f>'ПДФО ГРОМАДИ'!M404</f>
        <v>0</v>
      </c>
      <c r="F404" s="5">
        <f>'ПДФО ГРОМАДИ'!N404</f>
        <v>25389.599999999999</v>
      </c>
    </row>
    <row r="405" spans="1:6" ht="15.75" x14ac:dyDescent="0.25">
      <c r="A405" s="33" t="s">
        <v>769</v>
      </c>
      <c r="B405" s="34" t="s">
        <v>983</v>
      </c>
      <c r="C405" s="30" t="s">
        <v>1530</v>
      </c>
      <c r="D405" s="32" t="s">
        <v>1531</v>
      </c>
      <c r="E405" s="5">
        <f>'ПДФО ГРОМАДИ'!M405</f>
        <v>0</v>
      </c>
      <c r="F405" s="5">
        <f>'ПДФО ГРОМАДИ'!N405</f>
        <v>31994.5</v>
      </c>
    </row>
    <row r="406" spans="1:6" ht="15.75" x14ac:dyDescent="0.25">
      <c r="A406" s="33" t="s">
        <v>769</v>
      </c>
      <c r="B406" s="34" t="s">
        <v>985</v>
      </c>
      <c r="C406" s="30" t="s">
        <v>1532</v>
      </c>
      <c r="D406" s="32" t="s">
        <v>1533</v>
      </c>
      <c r="E406" s="5">
        <f>'ПДФО ГРОМАДИ'!M406</f>
        <v>0</v>
      </c>
      <c r="F406" s="5">
        <f>'ПДФО ГРОМАДИ'!N406</f>
        <v>29834.400000000001</v>
      </c>
    </row>
    <row r="407" spans="1:6" ht="15.75" x14ac:dyDescent="0.25">
      <c r="A407" s="33" t="s">
        <v>769</v>
      </c>
      <c r="B407" s="34" t="s">
        <v>985</v>
      </c>
      <c r="C407" s="30" t="s">
        <v>1534</v>
      </c>
      <c r="D407" s="32" t="s">
        <v>1535</v>
      </c>
      <c r="E407" s="5">
        <f>'ПДФО ГРОМАДИ'!M407</f>
        <v>0</v>
      </c>
      <c r="F407" s="5">
        <f>'ПДФО ГРОМАДИ'!N407</f>
        <v>1426</v>
      </c>
    </row>
    <row r="408" spans="1:6" ht="15.75" x14ac:dyDescent="0.25">
      <c r="A408" s="33" t="s">
        <v>769</v>
      </c>
      <c r="B408" s="34" t="s">
        <v>984</v>
      </c>
      <c r="C408" s="30" t="s">
        <v>1536</v>
      </c>
      <c r="D408" s="32" t="s">
        <v>1537</v>
      </c>
      <c r="E408" s="5">
        <f>'ПДФО ГРОМАДИ'!M408</f>
        <v>0</v>
      </c>
      <c r="F408" s="5">
        <f>'ПДФО ГРОМАДИ'!N408</f>
        <v>23153.9</v>
      </c>
    </row>
    <row r="409" spans="1:6" ht="15.75" x14ac:dyDescent="0.25">
      <c r="A409" s="33" t="s">
        <v>769</v>
      </c>
      <c r="B409" s="34" t="s">
        <v>984</v>
      </c>
      <c r="C409" s="30" t="s">
        <v>1538</v>
      </c>
      <c r="D409" s="32" t="s">
        <v>1539</v>
      </c>
      <c r="E409" s="5">
        <f>'ПДФО ГРОМАДИ'!M409</f>
        <v>0</v>
      </c>
      <c r="F409" s="5">
        <f>'ПДФО ГРОМАДИ'!N409</f>
        <v>25902.2</v>
      </c>
    </row>
    <row r="410" spans="1:6" ht="15.75" x14ac:dyDescent="0.25">
      <c r="A410" s="33" t="s">
        <v>769</v>
      </c>
      <c r="B410" s="34" t="s">
        <v>985</v>
      </c>
      <c r="C410" s="30" t="s">
        <v>1540</v>
      </c>
      <c r="D410" s="32" t="s">
        <v>1541</v>
      </c>
      <c r="E410" s="5">
        <f>'ПДФО ГРОМАДИ'!M410</f>
        <v>0</v>
      </c>
      <c r="F410" s="5">
        <f>'ПДФО ГРОМАДИ'!N410</f>
        <v>33955.5</v>
      </c>
    </row>
    <row r="411" spans="1:6" ht="31.5" x14ac:dyDescent="0.25">
      <c r="A411" s="33" t="s">
        <v>769</v>
      </c>
      <c r="B411" s="34" t="s">
        <v>984</v>
      </c>
      <c r="C411" s="30" t="s">
        <v>1542</v>
      </c>
      <c r="D411" s="32" t="s">
        <v>1543</v>
      </c>
      <c r="E411" s="5">
        <f>'ПДФО ГРОМАДИ'!M411</f>
        <v>0</v>
      </c>
      <c r="F411" s="5">
        <f>'ПДФО ГРОМАДИ'!N411</f>
        <v>10130.5</v>
      </c>
    </row>
    <row r="412" spans="1:6" ht="15.75" x14ac:dyDescent="0.25">
      <c r="A412" s="33" t="s">
        <v>769</v>
      </c>
      <c r="B412" s="34" t="s">
        <v>985</v>
      </c>
      <c r="C412" s="30" t="s">
        <v>1544</v>
      </c>
      <c r="D412" s="32" t="s">
        <v>1545</v>
      </c>
      <c r="E412" s="5">
        <f>'ПДФО ГРОМАДИ'!M412</f>
        <v>0</v>
      </c>
      <c r="F412" s="5">
        <f>'ПДФО ГРОМАДИ'!N412</f>
        <v>7760.6</v>
      </c>
    </row>
    <row r="413" spans="1:6" ht="15.75" x14ac:dyDescent="0.25">
      <c r="A413" s="33" t="s">
        <v>769</v>
      </c>
      <c r="B413" s="34" t="s">
        <v>984</v>
      </c>
      <c r="C413" s="30" t="s">
        <v>1546</v>
      </c>
      <c r="D413" s="32" t="s">
        <v>1547</v>
      </c>
      <c r="E413" s="5">
        <f>'ПДФО ГРОМАДИ'!M413</f>
        <v>0</v>
      </c>
      <c r="F413" s="5">
        <f>'ПДФО ГРОМАДИ'!N413</f>
        <v>12871.9</v>
      </c>
    </row>
    <row r="414" spans="1:6" ht="15.75" x14ac:dyDescent="0.25">
      <c r="A414" s="33" t="s">
        <v>769</v>
      </c>
      <c r="B414" s="34" t="s">
        <v>984</v>
      </c>
      <c r="C414" s="30" t="s">
        <v>1548</v>
      </c>
      <c r="D414" s="32" t="s">
        <v>1549</v>
      </c>
      <c r="E414" s="5">
        <f>'ПДФО ГРОМАДИ'!M414</f>
        <v>0</v>
      </c>
      <c r="F414" s="5">
        <f>'ПДФО ГРОМАДИ'!N414</f>
        <v>16250.4</v>
      </c>
    </row>
    <row r="415" spans="1:6" ht="15.75" x14ac:dyDescent="0.25">
      <c r="A415" s="33" t="s">
        <v>769</v>
      </c>
      <c r="B415" s="34" t="s">
        <v>985</v>
      </c>
      <c r="C415" s="30" t="s">
        <v>1550</v>
      </c>
      <c r="D415" s="32" t="s">
        <v>1551</v>
      </c>
      <c r="E415" s="5">
        <f>'ПДФО ГРОМАДИ'!M415</f>
        <v>0</v>
      </c>
      <c r="F415" s="5">
        <f>'ПДФО ГРОМАДИ'!N415</f>
        <v>6787</v>
      </c>
    </row>
    <row r="416" spans="1:6" ht="15.75" x14ac:dyDescent="0.25">
      <c r="A416" s="33" t="s">
        <v>769</v>
      </c>
      <c r="B416" s="34" t="s">
        <v>985</v>
      </c>
      <c r="C416" s="30" t="s">
        <v>1552</v>
      </c>
      <c r="D416" s="32" t="s">
        <v>1553</v>
      </c>
      <c r="E416" s="5">
        <f>'ПДФО ГРОМАДИ'!M416</f>
        <v>0</v>
      </c>
      <c r="F416" s="5">
        <f>'ПДФО ГРОМАДИ'!N416</f>
        <v>44275.6</v>
      </c>
    </row>
    <row r="417" spans="1:6" ht="15.75" x14ac:dyDescent="0.25">
      <c r="A417" s="33" t="s">
        <v>769</v>
      </c>
      <c r="B417" s="34" t="s">
        <v>984</v>
      </c>
      <c r="C417" s="30" t="s">
        <v>1554</v>
      </c>
      <c r="D417" s="32" t="s">
        <v>1555</v>
      </c>
      <c r="E417" s="5">
        <f>'ПДФО ГРОМАДИ'!M417</f>
        <v>0</v>
      </c>
      <c r="F417" s="5">
        <f>'ПДФО ГРОМАДИ'!N417</f>
        <v>9332.4</v>
      </c>
    </row>
    <row r="418" spans="1:6" ht="15.75" x14ac:dyDescent="0.25">
      <c r="A418" s="33" t="s">
        <v>769</v>
      </c>
      <c r="B418" s="34" t="s">
        <v>985</v>
      </c>
      <c r="C418" s="30" t="s">
        <v>1556</v>
      </c>
      <c r="D418" s="32" t="s">
        <v>1557</v>
      </c>
      <c r="E418" s="5">
        <f>'ПДФО ГРОМАДИ'!M418</f>
        <v>0</v>
      </c>
      <c r="F418" s="5">
        <f>'ПДФО ГРОМАДИ'!N418</f>
        <v>25266.9</v>
      </c>
    </row>
    <row r="419" spans="1:6" ht="15.75" x14ac:dyDescent="0.25">
      <c r="A419" s="33" t="s">
        <v>769</v>
      </c>
      <c r="B419" s="34" t="s">
        <v>984</v>
      </c>
      <c r="C419" s="30" t="s">
        <v>1558</v>
      </c>
      <c r="D419" s="32" t="s">
        <v>1559</v>
      </c>
      <c r="E419" s="5">
        <f>'ПДФО ГРОМАДИ'!M419</f>
        <v>0</v>
      </c>
      <c r="F419" s="5">
        <f>'ПДФО ГРОМАДИ'!N419</f>
        <v>1852.9</v>
      </c>
    </row>
    <row r="420" spans="1:6" ht="15.75" x14ac:dyDescent="0.25">
      <c r="A420" s="33" t="s">
        <v>769</v>
      </c>
      <c r="B420" s="34" t="s">
        <v>984</v>
      </c>
      <c r="C420" s="30" t="s">
        <v>1560</v>
      </c>
      <c r="D420" s="32" t="s">
        <v>1561</v>
      </c>
      <c r="E420" s="5">
        <f>'ПДФО ГРОМАДИ'!M420</f>
        <v>0</v>
      </c>
      <c r="F420" s="5">
        <f>'ПДФО ГРОМАДИ'!N420</f>
        <v>57959.7</v>
      </c>
    </row>
    <row r="421" spans="1:6" ht="15.75" x14ac:dyDescent="0.25">
      <c r="A421" s="33" t="s">
        <v>769</v>
      </c>
      <c r="B421" s="34" t="s">
        <v>984</v>
      </c>
      <c r="C421" s="30" t="s">
        <v>1562</v>
      </c>
      <c r="D421" s="32" t="s">
        <v>1563</v>
      </c>
      <c r="E421" s="5">
        <f>'ПДФО ГРОМАДИ'!M421</f>
        <v>0</v>
      </c>
      <c r="F421" s="5">
        <f>'ПДФО ГРОМАДИ'!N421</f>
        <v>17935.400000000001</v>
      </c>
    </row>
    <row r="422" spans="1:6" ht="15.75" x14ac:dyDescent="0.25">
      <c r="A422" s="33" t="s">
        <v>769</v>
      </c>
      <c r="B422" s="34" t="s">
        <v>984</v>
      </c>
      <c r="C422" s="30" t="s">
        <v>1564</v>
      </c>
      <c r="D422" s="32" t="s">
        <v>1565</v>
      </c>
      <c r="E422" s="5">
        <f>'ПДФО ГРОМАДИ'!M422</f>
        <v>0</v>
      </c>
      <c r="F422" s="5">
        <f>'ПДФО ГРОМАДИ'!N422</f>
        <v>34107.4</v>
      </c>
    </row>
    <row r="423" spans="1:6" ht="15.75" x14ac:dyDescent="0.25">
      <c r="A423" s="33" t="s">
        <v>769</v>
      </c>
      <c r="B423" s="34" t="s">
        <v>984</v>
      </c>
      <c r="C423" s="30" t="s">
        <v>1566</v>
      </c>
      <c r="D423" s="32" t="s">
        <v>1567</v>
      </c>
      <c r="E423" s="5">
        <f>'ПДФО ГРОМАДИ'!M423</f>
        <v>0</v>
      </c>
      <c r="F423" s="5">
        <f>'ПДФО ГРОМАДИ'!N423</f>
        <v>12816.8</v>
      </c>
    </row>
    <row r="424" spans="1:6" ht="15.75" x14ac:dyDescent="0.25">
      <c r="A424" s="33" t="s">
        <v>769</v>
      </c>
      <c r="B424" s="34" t="s">
        <v>983</v>
      </c>
      <c r="C424" s="30" t="s">
        <v>1568</v>
      </c>
      <c r="D424" s="32" t="s">
        <v>1569</v>
      </c>
      <c r="E424" s="5">
        <f>'ПДФО ГРОМАДИ'!M424</f>
        <v>0</v>
      </c>
      <c r="F424" s="5">
        <f>'ПДФО ГРОМАДИ'!N424</f>
        <v>18668.400000000001</v>
      </c>
    </row>
    <row r="425" spans="1:6" ht="15.75" x14ac:dyDescent="0.25">
      <c r="A425" s="33" t="s">
        <v>769</v>
      </c>
      <c r="B425" s="34" t="s">
        <v>983</v>
      </c>
      <c r="C425" s="30" t="s">
        <v>1570</v>
      </c>
      <c r="D425" s="32" t="s">
        <v>1571</v>
      </c>
      <c r="E425" s="5">
        <f>'ПДФО ГРОМАДИ'!M425</f>
        <v>0</v>
      </c>
      <c r="F425" s="5">
        <f>'ПДФО ГРОМАДИ'!N425</f>
        <v>17885.099999999999</v>
      </c>
    </row>
    <row r="426" spans="1:6" ht="15.75" x14ac:dyDescent="0.25">
      <c r="A426" s="33" t="s">
        <v>769</v>
      </c>
      <c r="B426" s="34" t="s">
        <v>985</v>
      </c>
      <c r="C426" s="30" t="s">
        <v>1572</v>
      </c>
      <c r="D426" s="32" t="s">
        <v>1573</v>
      </c>
      <c r="E426" s="5">
        <f>'ПДФО ГРОМАДИ'!M426</f>
        <v>0</v>
      </c>
      <c r="F426" s="5">
        <f>'ПДФО ГРОМАДИ'!N426</f>
        <v>19953.3</v>
      </c>
    </row>
    <row r="427" spans="1:6" ht="15.75" x14ac:dyDescent="0.25">
      <c r="A427" s="33" t="s">
        <v>769</v>
      </c>
      <c r="B427" s="34" t="s">
        <v>984</v>
      </c>
      <c r="C427" s="30" t="s">
        <v>1574</v>
      </c>
      <c r="D427" s="32" t="s">
        <v>1575</v>
      </c>
      <c r="E427" s="5">
        <f>'ПДФО ГРОМАДИ'!M427</f>
        <v>0</v>
      </c>
      <c r="F427" s="5">
        <f>'ПДФО ГРОМАДИ'!N427</f>
        <v>10941.2</v>
      </c>
    </row>
    <row r="428" spans="1:6" ht="15.75" x14ac:dyDescent="0.25">
      <c r="A428" s="33" t="s">
        <v>769</v>
      </c>
      <c r="B428" s="34" t="s">
        <v>985</v>
      </c>
      <c r="C428" s="30" t="s">
        <v>1576</v>
      </c>
      <c r="D428" s="32" t="s">
        <v>1577</v>
      </c>
      <c r="E428" s="5">
        <f>'ПДФО ГРОМАДИ'!M428</f>
        <v>0</v>
      </c>
      <c r="F428" s="5">
        <f>'ПДФО ГРОМАДИ'!N428</f>
        <v>68011.5</v>
      </c>
    </row>
    <row r="429" spans="1:6" ht="15.75" x14ac:dyDescent="0.25">
      <c r="A429" s="33" t="s">
        <v>769</v>
      </c>
      <c r="B429" s="34" t="s">
        <v>984</v>
      </c>
      <c r="C429" s="30" t="s">
        <v>1578</v>
      </c>
      <c r="D429" s="32" t="s">
        <v>1579</v>
      </c>
      <c r="E429" s="5">
        <f>'ПДФО ГРОМАДИ'!M429</f>
        <v>0</v>
      </c>
      <c r="F429" s="5">
        <f>'ПДФО ГРОМАДИ'!N429</f>
        <v>12014.2</v>
      </c>
    </row>
    <row r="430" spans="1:6" ht="15.75" x14ac:dyDescent="0.25">
      <c r="A430" s="33" t="s">
        <v>769</v>
      </c>
      <c r="B430" s="34" t="s">
        <v>984</v>
      </c>
      <c r="C430" s="30" t="s">
        <v>1580</v>
      </c>
      <c r="D430" s="32" t="s">
        <v>1581</v>
      </c>
      <c r="E430" s="5">
        <f>'ПДФО ГРОМАДИ'!M430</f>
        <v>0</v>
      </c>
      <c r="F430" s="5">
        <f>'ПДФО ГРОМАДИ'!N430</f>
        <v>3180.7</v>
      </c>
    </row>
    <row r="431" spans="1:6" ht="15.75" x14ac:dyDescent="0.25">
      <c r="A431" s="33" t="s">
        <v>769</v>
      </c>
      <c r="B431" s="34" t="s">
        <v>985</v>
      </c>
      <c r="C431" s="30" t="s">
        <v>1582</v>
      </c>
      <c r="D431" s="32" t="s">
        <v>1583</v>
      </c>
      <c r="E431" s="5">
        <f>'ПДФО ГРОМАДИ'!M431</f>
        <v>0</v>
      </c>
      <c r="F431" s="5">
        <f>'ПДФО ГРОМАДИ'!N431</f>
        <v>31490.6</v>
      </c>
    </row>
    <row r="432" spans="1:6" ht="15.75" x14ac:dyDescent="0.25">
      <c r="A432" s="33" t="s">
        <v>769</v>
      </c>
      <c r="B432" s="34" t="s">
        <v>984</v>
      </c>
      <c r="C432" s="30" t="s">
        <v>1584</v>
      </c>
      <c r="D432" s="32" t="s">
        <v>1585</v>
      </c>
      <c r="E432" s="5">
        <f>'ПДФО ГРОМАДИ'!M432</f>
        <v>0</v>
      </c>
      <c r="F432" s="5">
        <f>'ПДФО ГРОМАДИ'!N432</f>
        <v>28787.7</v>
      </c>
    </row>
    <row r="433" spans="1:6" ht="15.75" x14ac:dyDescent="0.25">
      <c r="A433" s="33" t="s">
        <v>769</v>
      </c>
      <c r="B433" s="34" t="s">
        <v>984</v>
      </c>
      <c r="C433" s="30" t="s">
        <v>1586</v>
      </c>
      <c r="D433" s="32" t="s">
        <v>1587</v>
      </c>
      <c r="E433" s="5">
        <f>'ПДФО ГРОМАДИ'!M433</f>
        <v>0</v>
      </c>
      <c r="F433" s="5">
        <f>'ПДФО ГРОМАДИ'!N433</f>
        <v>20269.400000000001</v>
      </c>
    </row>
    <row r="434" spans="1:6" ht="15.75" x14ac:dyDescent="0.25">
      <c r="A434" s="33" t="s">
        <v>769</v>
      </c>
      <c r="B434" s="34" t="s">
        <v>986</v>
      </c>
      <c r="C434" s="30" t="s">
        <v>1588</v>
      </c>
      <c r="D434" s="32" t="s">
        <v>1589</v>
      </c>
      <c r="E434" s="5">
        <f>'ПДФО ГРОМАДИ'!M434</f>
        <v>134944.29999999999</v>
      </c>
      <c r="F434" s="5">
        <f>'ПДФО ГРОМАДИ'!N434</f>
        <v>0</v>
      </c>
    </row>
    <row r="435" spans="1:6" ht="15.75" x14ac:dyDescent="0.25">
      <c r="A435" s="33" t="s">
        <v>769</v>
      </c>
      <c r="B435" s="34" t="s">
        <v>985</v>
      </c>
      <c r="C435" s="30" t="s">
        <v>1590</v>
      </c>
      <c r="D435" s="32" t="s">
        <v>1591</v>
      </c>
      <c r="E435" s="5">
        <f>'ПДФО ГРОМАДИ'!M435</f>
        <v>0</v>
      </c>
      <c r="F435" s="5">
        <f>'ПДФО ГРОМАДИ'!N435</f>
        <v>6123.4</v>
      </c>
    </row>
    <row r="436" spans="1:6" ht="15.75" x14ac:dyDescent="0.25">
      <c r="A436" s="33" t="s">
        <v>769</v>
      </c>
      <c r="B436" s="34" t="s">
        <v>986</v>
      </c>
      <c r="C436" s="30" t="s">
        <v>1592</v>
      </c>
      <c r="D436" s="32" t="s">
        <v>1593</v>
      </c>
      <c r="E436" s="5">
        <f>'ПДФО ГРОМАДИ'!M436</f>
        <v>0</v>
      </c>
      <c r="F436" s="5">
        <f>'ПДФО ГРОМАДИ'!N436</f>
        <v>86333.5</v>
      </c>
    </row>
    <row r="437" spans="1:6" ht="15.75" x14ac:dyDescent="0.25">
      <c r="A437" s="33" t="s">
        <v>769</v>
      </c>
      <c r="B437" s="34" t="s">
        <v>985</v>
      </c>
      <c r="C437" s="30" t="s">
        <v>1594</v>
      </c>
      <c r="D437" s="32" t="s">
        <v>1595</v>
      </c>
      <c r="E437" s="5">
        <f>'ПДФО ГРОМАДИ'!M437</f>
        <v>0</v>
      </c>
      <c r="F437" s="5">
        <f>'ПДФО ГРОМАДИ'!N437</f>
        <v>24036</v>
      </c>
    </row>
    <row r="438" spans="1:6" ht="15.75" x14ac:dyDescent="0.25">
      <c r="A438" s="33" t="s">
        <v>769</v>
      </c>
      <c r="B438" s="34" t="s">
        <v>986</v>
      </c>
      <c r="C438" s="30" t="s">
        <v>1596</v>
      </c>
      <c r="D438" s="32" t="s">
        <v>1597</v>
      </c>
      <c r="E438" s="5">
        <f>'ПДФО ГРОМАДИ'!M438</f>
        <v>5742</v>
      </c>
      <c r="F438" s="5">
        <f>'ПДФО ГРОМАДИ'!N438</f>
        <v>0</v>
      </c>
    </row>
    <row r="439" spans="1:6" ht="15.75" x14ac:dyDescent="0.25">
      <c r="A439" s="33" t="s">
        <v>769</v>
      </c>
      <c r="B439" s="34" t="s">
        <v>985</v>
      </c>
      <c r="C439" s="30" t="s">
        <v>1598</v>
      </c>
      <c r="D439" s="32" t="s">
        <v>2827</v>
      </c>
      <c r="E439" s="5">
        <f>'ПДФО ГРОМАДИ'!M439</f>
        <v>0</v>
      </c>
      <c r="F439" s="5">
        <f>'ПДФО ГРОМАДИ'!N439</f>
        <v>28076.6</v>
      </c>
    </row>
    <row r="440" spans="1:6" ht="15.75" x14ac:dyDescent="0.25">
      <c r="A440" s="17" t="s">
        <v>773</v>
      </c>
      <c r="B440" s="17" t="s">
        <v>7</v>
      </c>
      <c r="C440" s="17" t="s">
        <v>774</v>
      </c>
      <c r="D440" s="11" t="s">
        <v>12</v>
      </c>
      <c r="E440" s="11">
        <f>E441+E442+E448</f>
        <v>825380.50000000012</v>
      </c>
      <c r="F440" s="11">
        <f>F441+F442+F448</f>
        <v>551238.89999999991</v>
      </c>
    </row>
    <row r="441" spans="1:6" ht="15.75" x14ac:dyDescent="0.25">
      <c r="A441" s="33" t="s">
        <v>773</v>
      </c>
      <c r="B441" s="34" t="s">
        <v>6</v>
      </c>
      <c r="C441" s="18" t="s">
        <v>85</v>
      </c>
      <c r="D441" s="32" t="s">
        <v>845</v>
      </c>
      <c r="E441" s="5">
        <f>'ПДФО ОБЛАСНІ'!K10+'ПОДАТОК НА ПРИБУТОК'!K10</f>
        <v>38572.9</v>
      </c>
      <c r="F441" s="5">
        <f>'ПДФО ОБЛАСНІ'!L10+'ПОДАТОК НА ПРИБУТОК'!L10</f>
        <v>0</v>
      </c>
    </row>
    <row r="442" spans="1:6" ht="15.75" x14ac:dyDescent="0.25">
      <c r="A442" s="19" t="s">
        <v>773</v>
      </c>
      <c r="B442" s="19" t="s">
        <v>5</v>
      </c>
      <c r="C442" s="19" t="s">
        <v>775</v>
      </c>
      <c r="D442" s="7" t="s">
        <v>2800</v>
      </c>
      <c r="E442" s="7">
        <f>SUM(E443:E447)</f>
        <v>0</v>
      </c>
      <c r="F442" s="7">
        <f>SUM(F443:F447)</f>
        <v>0</v>
      </c>
    </row>
    <row r="443" spans="1:6" ht="15.75" x14ac:dyDescent="0.25">
      <c r="A443" s="33" t="s">
        <v>773</v>
      </c>
      <c r="B443" s="34" t="s">
        <v>4</v>
      </c>
      <c r="C443" s="18" t="s">
        <v>86</v>
      </c>
      <c r="D443" s="32" t="s">
        <v>905</v>
      </c>
      <c r="E443" s="5">
        <f>'ПДФО ГРОМАДИ'!M443</f>
        <v>0</v>
      </c>
      <c r="F443" s="5">
        <f>'ПДФО ГРОМАДИ'!N443</f>
        <v>0</v>
      </c>
    </row>
    <row r="444" spans="1:6" ht="15.75" x14ac:dyDescent="0.25">
      <c r="A444" s="33" t="s">
        <v>773</v>
      </c>
      <c r="B444" s="34" t="s">
        <v>4</v>
      </c>
      <c r="C444" s="18" t="s">
        <v>87</v>
      </c>
      <c r="D444" s="32" t="s">
        <v>906</v>
      </c>
      <c r="E444" s="5">
        <f>'ПДФО ГРОМАДИ'!M444</f>
        <v>0</v>
      </c>
      <c r="F444" s="5">
        <f>'ПДФО ГРОМАДИ'!N444</f>
        <v>0</v>
      </c>
    </row>
    <row r="445" spans="1:6" ht="15.75" x14ac:dyDescent="0.25">
      <c r="A445" s="33" t="s">
        <v>773</v>
      </c>
      <c r="B445" s="34" t="s">
        <v>4</v>
      </c>
      <c r="C445" s="18" t="s">
        <v>88</v>
      </c>
      <c r="D445" s="32" t="s">
        <v>907</v>
      </c>
      <c r="E445" s="5">
        <f>'ПДФО ГРОМАДИ'!M445</f>
        <v>0</v>
      </c>
      <c r="F445" s="5">
        <f>'ПДФО ГРОМАДИ'!N445</f>
        <v>0</v>
      </c>
    </row>
    <row r="446" spans="1:6" ht="15.75" x14ac:dyDescent="0.25">
      <c r="A446" s="33" t="s">
        <v>773</v>
      </c>
      <c r="B446" s="34" t="s">
        <v>4</v>
      </c>
      <c r="C446" s="18" t="s">
        <v>89</v>
      </c>
      <c r="D446" s="32" t="s">
        <v>908</v>
      </c>
      <c r="E446" s="5">
        <f>'ПДФО ГРОМАДИ'!M446</f>
        <v>0</v>
      </c>
      <c r="F446" s="5">
        <f>'ПДФО ГРОМАДИ'!N446</f>
        <v>0</v>
      </c>
    </row>
    <row r="447" spans="1:6" ht="15.75" x14ac:dyDescent="0.25">
      <c r="A447" s="33" t="s">
        <v>773</v>
      </c>
      <c r="B447" s="34" t="s">
        <v>4</v>
      </c>
      <c r="C447" s="18" t="s">
        <v>90</v>
      </c>
      <c r="D447" s="32" t="s">
        <v>909</v>
      </c>
      <c r="E447" s="5">
        <f>'ПДФО ГРОМАДИ'!M447</f>
        <v>0</v>
      </c>
      <c r="F447" s="5">
        <f>'ПДФО ГРОМАДИ'!N447</f>
        <v>0</v>
      </c>
    </row>
    <row r="448" spans="1:6" ht="15.75" x14ac:dyDescent="0.25">
      <c r="A448" s="19" t="s">
        <v>773</v>
      </c>
      <c r="B448" s="19" t="s">
        <v>28</v>
      </c>
      <c r="C448" s="19" t="s">
        <v>776</v>
      </c>
      <c r="D448" s="20" t="s">
        <v>2774</v>
      </c>
      <c r="E448" s="7">
        <f>SUM(E449:E515)</f>
        <v>786807.60000000009</v>
      </c>
      <c r="F448" s="7">
        <f>SUM(F449:F515)</f>
        <v>551238.89999999991</v>
      </c>
    </row>
    <row r="449" spans="1:6" ht="15.75" x14ac:dyDescent="0.25">
      <c r="A449" s="33" t="s">
        <v>773</v>
      </c>
      <c r="B449" s="34" t="s">
        <v>984</v>
      </c>
      <c r="C449" s="18" t="s">
        <v>91</v>
      </c>
      <c r="D449" s="32" t="s">
        <v>1599</v>
      </c>
      <c r="E449" s="5">
        <f>'ПДФО ГРОМАДИ'!M449</f>
        <v>0</v>
      </c>
      <c r="F449" s="5">
        <f>'ПДФО ГРОМАДИ'!N449</f>
        <v>4152</v>
      </c>
    </row>
    <row r="450" spans="1:6" ht="15.75" x14ac:dyDescent="0.25">
      <c r="A450" s="33" t="s">
        <v>773</v>
      </c>
      <c r="B450" s="34" t="s">
        <v>985</v>
      </c>
      <c r="C450" s="18" t="s">
        <v>92</v>
      </c>
      <c r="D450" s="32" t="s">
        <v>1600</v>
      </c>
      <c r="E450" s="5">
        <f>'ПДФО ГРОМАДИ'!M450</f>
        <v>0</v>
      </c>
      <c r="F450" s="5">
        <f>'ПДФО ГРОМАДИ'!N450</f>
        <v>9187.6</v>
      </c>
    </row>
    <row r="451" spans="1:6" ht="15.75" x14ac:dyDescent="0.25">
      <c r="A451" s="33" t="s">
        <v>773</v>
      </c>
      <c r="B451" s="34" t="s">
        <v>985</v>
      </c>
      <c r="C451" s="18" t="s">
        <v>93</v>
      </c>
      <c r="D451" s="32" t="s">
        <v>1601</v>
      </c>
      <c r="E451" s="5">
        <f>'ПДФО ГРОМАДИ'!M451</f>
        <v>0</v>
      </c>
      <c r="F451" s="5">
        <f>'ПДФО ГРОМАДИ'!N451</f>
        <v>2336.5</v>
      </c>
    </row>
    <row r="452" spans="1:6" ht="15.75" x14ac:dyDescent="0.25">
      <c r="A452" s="33" t="s">
        <v>773</v>
      </c>
      <c r="B452" s="34" t="s">
        <v>984</v>
      </c>
      <c r="C452" s="18" t="s">
        <v>94</v>
      </c>
      <c r="D452" s="32" t="s">
        <v>1602</v>
      </c>
      <c r="E452" s="5">
        <f>'ПДФО ГРОМАДИ'!M452</f>
        <v>0</v>
      </c>
      <c r="F452" s="5">
        <f>'ПДФО ГРОМАДИ'!N452</f>
        <v>4565.1000000000004</v>
      </c>
    </row>
    <row r="453" spans="1:6" ht="15.75" x14ac:dyDescent="0.25">
      <c r="A453" s="33" t="s">
        <v>773</v>
      </c>
      <c r="B453" s="34" t="s">
        <v>984</v>
      </c>
      <c r="C453" s="18" t="s">
        <v>95</v>
      </c>
      <c r="D453" s="32" t="s">
        <v>1603</v>
      </c>
      <c r="E453" s="5">
        <f>'ПДФО ГРОМАДИ'!M453</f>
        <v>975</v>
      </c>
      <c r="F453" s="5">
        <f>'ПДФО ГРОМАДИ'!N453</f>
        <v>0</v>
      </c>
    </row>
    <row r="454" spans="1:6" ht="15.75" x14ac:dyDescent="0.25">
      <c r="A454" s="33" t="s">
        <v>773</v>
      </c>
      <c r="B454" s="34" t="s">
        <v>984</v>
      </c>
      <c r="C454" s="18" t="s">
        <v>232</v>
      </c>
      <c r="D454" s="32" t="s">
        <v>1604</v>
      </c>
      <c r="E454" s="5">
        <f>'ПДФО ГРОМАДИ'!M454</f>
        <v>0</v>
      </c>
      <c r="F454" s="5">
        <f>'ПДФО ГРОМАДИ'!N454</f>
        <v>2957.8</v>
      </c>
    </row>
    <row r="455" spans="1:6" ht="15.75" x14ac:dyDescent="0.25">
      <c r="A455" s="33" t="s">
        <v>773</v>
      </c>
      <c r="B455" s="34" t="s">
        <v>984</v>
      </c>
      <c r="C455" s="18" t="s">
        <v>299</v>
      </c>
      <c r="D455" s="32" t="s">
        <v>1605</v>
      </c>
      <c r="E455" s="5">
        <f>'ПДФО ГРОМАДИ'!M455</f>
        <v>0</v>
      </c>
      <c r="F455" s="5">
        <f>'ПДФО ГРОМАДИ'!N455</f>
        <v>0</v>
      </c>
    </row>
    <row r="456" spans="1:6" ht="15.75" x14ac:dyDescent="0.25">
      <c r="A456" s="33" t="s">
        <v>773</v>
      </c>
      <c r="B456" s="34" t="s">
        <v>983</v>
      </c>
      <c r="C456" s="18" t="s">
        <v>363</v>
      </c>
      <c r="D456" s="32" t="s">
        <v>1606</v>
      </c>
      <c r="E456" s="5">
        <f>'ПДФО ГРОМАДИ'!M456</f>
        <v>0</v>
      </c>
      <c r="F456" s="5">
        <f>'ПДФО ГРОМАДИ'!N456</f>
        <v>22522.9</v>
      </c>
    </row>
    <row r="457" spans="1:6" ht="15.75" x14ac:dyDescent="0.25">
      <c r="A457" s="33" t="s">
        <v>773</v>
      </c>
      <c r="B457" s="34" t="s">
        <v>985</v>
      </c>
      <c r="C457" s="18" t="s">
        <v>364</v>
      </c>
      <c r="D457" s="32" t="s">
        <v>1607</v>
      </c>
      <c r="E457" s="5">
        <f>'ПДФО ГРОМАДИ'!M457</f>
        <v>0</v>
      </c>
      <c r="F457" s="5">
        <f>'ПДФО ГРОМАДИ'!N457</f>
        <v>18950.3</v>
      </c>
    </row>
    <row r="458" spans="1:6" ht="15.75" x14ac:dyDescent="0.25">
      <c r="A458" s="33" t="s">
        <v>773</v>
      </c>
      <c r="B458" s="34" t="s">
        <v>984</v>
      </c>
      <c r="C458" s="18" t="s">
        <v>365</v>
      </c>
      <c r="D458" s="32" t="s">
        <v>1608</v>
      </c>
      <c r="E458" s="5">
        <f>'ПДФО ГРОМАДИ'!M458</f>
        <v>0</v>
      </c>
      <c r="F458" s="5">
        <f>'ПДФО ГРОМАДИ'!N458</f>
        <v>8640.6</v>
      </c>
    </row>
    <row r="459" spans="1:6" ht="15.75" x14ac:dyDescent="0.25">
      <c r="A459" s="33" t="s">
        <v>773</v>
      </c>
      <c r="B459" s="34" t="s">
        <v>984</v>
      </c>
      <c r="C459" s="18" t="s">
        <v>366</v>
      </c>
      <c r="D459" s="32" t="s">
        <v>1609</v>
      </c>
      <c r="E459" s="5">
        <f>'ПДФО ГРОМАДИ'!M459</f>
        <v>0</v>
      </c>
      <c r="F459" s="5">
        <f>'ПДФО ГРОМАДИ'!N459</f>
        <v>1119.3</v>
      </c>
    </row>
    <row r="460" spans="1:6" ht="15.75" x14ac:dyDescent="0.25">
      <c r="A460" s="33" t="s">
        <v>773</v>
      </c>
      <c r="B460" s="34" t="s">
        <v>984</v>
      </c>
      <c r="C460" s="18" t="s">
        <v>367</v>
      </c>
      <c r="D460" s="32" t="s">
        <v>1610</v>
      </c>
      <c r="E460" s="5">
        <f>'ПДФО ГРОМАДИ'!M460</f>
        <v>0</v>
      </c>
      <c r="F460" s="5">
        <f>'ПДФО ГРОМАДИ'!N460</f>
        <v>6222.2</v>
      </c>
    </row>
    <row r="461" spans="1:6" ht="15.75" x14ac:dyDescent="0.25">
      <c r="A461" s="33" t="s">
        <v>773</v>
      </c>
      <c r="B461" s="34" t="s">
        <v>984</v>
      </c>
      <c r="C461" s="18" t="s">
        <v>368</v>
      </c>
      <c r="D461" s="32" t="s">
        <v>1611</v>
      </c>
      <c r="E461" s="5">
        <f>'ПДФО ГРОМАДИ'!M461</f>
        <v>0</v>
      </c>
      <c r="F461" s="5">
        <f>'ПДФО ГРОМАДИ'!N461</f>
        <v>4547.8999999999996</v>
      </c>
    </row>
    <row r="462" spans="1:6" ht="15.75" x14ac:dyDescent="0.25">
      <c r="A462" s="33" t="s">
        <v>773</v>
      </c>
      <c r="B462" s="34" t="s">
        <v>983</v>
      </c>
      <c r="C462" s="18" t="s">
        <v>476</v>
      </c>
      <c r="D462" s="32" t="s">
        <v>1612</v>
      </c>
      <c r="E462" s="5">
        <f>'ПДФО ГРОМАДИ'!M462</f>
        <v>0</v>
      </c>
      <c r="F462" s="5">
        <f>'ПДФО ГРОМАДИ'!N462</f>
        <v>17898.400000000001</v>
      </c>
    </row>
    <row r="463" spans="1:6" ht="15.75" x14ac:dyDescent="0.25">
      <c r="A463" s="33" t="s">
        <v>773</v>
      </c>
      <c r="B463" s="34" t="s">
        <v>983</v>
      </c>
      <c r="C463" s="18" t="s">
        <v>477</v>
      </c>
      <c r="D463" s="32" t="s">
        <v>1613</v>
      </c>
      <c r="E463" s="5">
        <f>'ПДФО ГРОМАДИ'!M463</f>
        <v>0</v>
      </c>
      <c r="F463" s="5">
        <f>'ПДФО ГРОМАДИ'!N463</f>
        <v>5283.5</v>
      </c>
    </row>
    <row r="464" spans="1:6" ht="15.75" x14ac:dyDescent="0.25">
      <c r="A464" s="33" t="s">
        <v>773</v>
      </c>
      <c r="B464" s="34" t="s">
        <v>984</v>
      </c>
      <c r="C464" s="18" t="s">
        <v>478</v>
      </c>
      <c r="D464" s="32" t="s">
        <v>1614</v>
      </c>
      <c r="E464" s="5">
        <f>'ПДФО ГРОМАДИ'!M464</f>
        <v>0</v>
      </c>
      <c r="F464" s="5">
        <f>'ПДФО ГРОМАДИ'!N464</f>
        <v>463.4</v>
      </c>
    </row>
    <row r="465" spans="1:6" ht="15.75" x14ac:dyDescent="0.25">
      <c r="A465" s="33" t="s">
        <v>773</v>
      </c>
      <c r="B465" s="34" t="s">
        <v>985</v>
      </c>
      <c r="C465" s="18" t="s">
        <v>479</v>
      </c>
      <c r="D465" s="32" t="s">
        <v>1615</v>
      </c>
      <c r="E465" s="5">
        <f>'ПДФО ГРОМАДИ'!M465</f>
        <v>0</v>
      </c>
      <c r="F465" s="5">
        <f>'ПДФО ГРОМАДИ'!N465</f>
        <v>4711.3999999999996</v>
      </c>
    </row>
    <row r="466" spans="1:6" ht="15.75" x14ac:dyDescent="0.25">
      <c r="A466" s="33" t="s">
        <v>773</v>
      </c>
      <c r="B466" s="34" t="s">
        <v>983</v>
      </c>
      <c r="C466" s="18" t="s">
        <v>480</v>
      </c>
      <c r="D466" s="32" t="s">
        <v>1616</v>
      </c>
      <c r="E466" s="5">
        <f>'ПДФО ГРОМАДИ'!M466</f>
        <v>0</v>
      </c>
      <c r="F466" s="5">
        <f>'ПДФО ГРОМАДИ'!N466</f>
        <v>5177.8999999999996</v>
      </c>
    </row>
    <row r="467" spans="1:6" ht="15.75" x14ac:dyDescent="0.25">
      <c r="A467" s="33" t="s">
        <v>773</v>
      </c>
      <c r="B467" s="34" t="s">
        <v>984</v>
      </c>
      <c r="C467" s="18" t="s">
        <v>481</v>
      </c>
      <c r="D467" s="32" t="s">
        <v>1617</v>
      </c>
      <c r="E467" s="5">
        <f>'ПДФО ГРОМАДИ'!M467</f>
        <v>0</v>
      </c>
      <c r="F467" s="5">
        <f>'ПДФО ГРОМАДИ'!N467</f>
        <v>2203.3000000000002</v>
      </c>
    </row>
    <row r="468" spans="1:6" ht="15.75" x14ac:dyDescent="0.25">
      <c r="A468" s="33" t="s">
        <v>773</v>
      </c>
      <c r="B468" s="34" t="s">
        <v>984</v>
      </c>
      <c r="C468" s="18" t="s">
        <v>482</v>
      </c>
      <c r="D468" s="32" t="s">
        <v>1618</v>
      </c>
      <c r="E468" s="5">
        <f>'ПДФО ГРОМАДИ'!M468</f>
        <v>0</v>
      </c>
      <c r="F468" s="5">
        <f>'ПДФО ГРОМАДИ'!N468</f>
        <v>0</v>
      </c>
    </row>
    <row r="469" spans="1:6" s="24" customFormat="1" ht="15.75" x14ac:dyDescent="0.25">
      <c r="A469" s="33" t="s">
        <v>773</v>
      </c>
      <c r="B469" s="34" t="s">
        <v>984</v>
      </c>
      <c r="C469" s="18" t="s">
        <v>483</v>
      </c>
      <c r="D469" s="32" t="s">
        <v>1619</v>
      </c>
      <c r="E469" s="5">
        <f>'ПДФО ГРОМАДИ'!M469</f>
        <v>0</v>
      </c>
      <c r="F469" s="5">
        <f>'ПДФО ГРОМАДИ'!N469</f>
        <v>18203.599999999999</v>
      </c>
    </row>
    <row r="470" spans="1:6" ht="15.75" x14ac:dyDescent="0.25">
      <c r="A470" s="33" t="s">
        <v>773</v>
      </c>
      <c r="B470" s="34" t="s">
        <v>984</v>
      </c>
      <c r="C470" s="18" t="s">
        <v>551</v>
      </c>
      <c r="D470" s="32" t="s">
        <v>1620</v>
      </c>
      <c r="E470" s="5">
        <f>'ПДФО ГРОМАДИ'!M470</f>
        <v>0</v>
      </c>
      <c r="F470" s="5">
        <f>'ПДФО ГРОМАДИ'!N470</f>
        <v>4438.1000000000004</v>
      </c>
    </row>
    <row r="471" spans="1:6" ht="15.75" x14ac:dyDescent="0.25">
      <c r="A471" s="33" t="s">
        <v>773</v>
      </c>
      <c r="B471" s="34" t="s">
        <v>984</v>
      </c>
      <c r="C471" s="18" t="s">
        <v>552</v>
      </c>
      <c r="D471" s="32" t="s">
        <v>1621</v>
      </c>
      <c r="E471" s="5">
        <f>'ПДФО ГРОМАДИ'!M471</f>
        <v>0</v>
      </c>
      <c r="F471" s="5">
        <f>'ПДФО ГРОМАДИ'!N471</f>
        <v>2376.6999999999998</v>
      </c>
    </row>
    <row r="472" spans="1:6" ht="15.75" x14ac:dyDescent="0.25">
      <c r="A472" s="33" t="s">
        <v>773</v>
      </c>
      <c r="B472" s="34" t="s">
        <v>984</v>
      </c>
      <c r="C472" s="18" t="s">
        <v>553</v>
      </c>
      <c r="D472" s="32" t="s">
        <v>1622</v>
      </c>
      <c r="E472" s="5">
        <f>'ПДФО ГРОМАДИ'!M472</f>
        <v>0</v>
      </c>
      <c r="F472" s="5">
        <f>'ПДФО ГРОМАДИ'!N472</f>
        <v>2947.7</v>
      </c>
    </row>
    <row r="473" spans="1:6" ht="15.75" x14ac:dyDescent="0.25">
      <c r="A473" s="33" t="s">
        <v>773</v>
      </c>
      <c r="B473" s="34" t="s">
        <v>984</v>
      </c>
      <c r="C473" s="18" t="s">
        <v>554</v>
      </c>
      <c r="D473" s="32" t="s">
        <v>1623</v>
      </c>
      <c r="E473" s="5">
        <f>'ПДФО ГРОМАДИ'!M473</f>
        <v>1037.2</v>
      </c>
      <c r="F473" s="5">
        <f>'ПДФО ГРОМАДИ'!N473</f>
        <v>0</v>
      </c>
    </row>
    <row r="474" spans="1:6" ht="15.75" x14ac:dyDescent="0.25">
      <c r="A474" s="33" t="s">
        <v>773</v>
      </c>
      <c r="B474" s="34" t="s">
        <v>984</v>
      </c>
      <c r="C474" s="18" t="s">
        <v>555</v>
      </c>
      <c r="D474" s="32" t="s">
        <v>1624</v>
      </c>
      <c r="E474" s="5">
        <f>'ПДФО ГРОМАДИ'!M474</f>
        <v>0</v>
      </c>
      <c r="F474" s="5">
        <f>'ПДФО ГРОМАДИ'!N474</f>
        <v>2361.4</v>
      </c>
    </row>
    <row r="475" spans="1:6" ht="15.75" x14ac:dyDescent="0.25">
      <c r="A475" s="33" t="s">
        <v>773</v>
      </c>
      <c r="B475" s="34" t="s">
        <v>985</v>
      </c>
      <c r="C475" s="18" t="s">
        <v>556</v>
      </c>
      <c r="D475" s="32" t="s">
        <v>1625</v>
      </c>
      <c r="E475" s="5">
        <f>'ПДФО ГРОМАДИ'!M475</f>
        <v>0</v>
      </c>
      <c r="F475" s="5">
        <f>'ПДФО ГРОМАДИ'!N475</f>
        <v>6451.4</v>
      </c>
    </row>
    <row r="476" spans="1:6" ht="15.75" x14ac:dyDescent="0.25">
      <c r="A476" s="33" t="s">
        <v>773</v>
      </c>
      <c r="B476" s="34" t="s">
        <v>985</v>
      </c>
      <c r="C476" s="18" t="s">
        <v>557</v>
      </c>
      <c r="D476" s="32" t="s">
        <v>1626</v>
      </c>
      <c r="E476" s="5">
        <f>'ПДФО ГРОМАДИ'!M476</f>
        <v>0</v>
      </c>
      <c r="F476" s="5">
        <f>'ПДФО ГРОМАДИ'!N476</f>
        <v>5691.6</v>
      </c>
    </row>
    <row r="477" spans="1:6" ht="15.75" x14ac:dyDescent="0.25">
      <c r="A477" s="33" t="s">
        <v>773</v>
      </c>
      <c r="B477" s="34" t="s">
        <v>985</v>
      </c>
      <c r="C477" s="18" t="s">
        <v>558</v>
      </c>
      <c r="D477" s="32" t="s">
        <v>1627</v>
      </c>
      <c r="E477" s="5">
        <f>'ПДФО ГРОМАДИ'!M477</f>
        <v>0</v>
      </c>
      <c r="F477" s="5">
        <f>'ПДФО ГРОМАДИ'!N477</f>
        <v>17970</v>
      </c>
    </row>
    <row r="478" spans="1:6" ht="15.75" x14ac:dyDescent="0.25">
      <c r="A478" s="33" t="s">
        <v>773</v>
      </c>
      <c r="B478" s="34" t="s">
        <v>984</v>
      </c>
      <c r="C478" s="18" t="s">
        <v>559</v>
      </c>
      <c r="D478" s="32" t="s">
        <v>1628</v>
      </c>
      <c r="E478" s="5">
        <f>'ПДФО ГРОМАДИ'!M478</f>
        <v>0</v>
      </c>
      <c r="F478" s="5">
        <f>'ПДФО ГРОМАДИ'!N478</f>
        <v>5378.7</v>
      </c>
    </row>
    <row r="479" spans="1:6" ht="15.75" x14ac:dyDescent="0.25">
      <c r="A479" s="33" t="s">
        <v>773</v>
      </c>
      <c r="B479" s="34" t="s">
        <v>984</v>
      </c>
      <c r="C479" s="18" t="s">
        <v>690</v>
      </c>
      <c r="D479" s="32" t="s">
        <v>1629</v>
      </c>
      <c r="E479" s="5">
        <f>'ПДФО ГРОМАДИ'!M479</f>
        <v>0</v>
      </c>
      <c r="F479" s="5">
        <f>'ПДФО ГРОМАДИ'!N479</f>
        <v>7664.3</v>
      </c>
    </row>
    <row r="480" spans="1:6" ht="15.75" x14ac:dyDescent="0.25">
      <c r="A480" s="34" t="s">
        <v>773</v>
      </c>
      <c r="B480" s="34" t="s">
        <v>985</v>
      </c>
      <c r="C480" s="30" t="s">
        <v>736</v>
      </c>
      <c r="D480" s="32" t="s">
        <v>1630</v>
      </c>
      <c r="E480" s="5">
        <f>'ПДФО ГРОМАДИ'!M480</f>
        <v>0</v>
      </c>
      <c r="F480" s="5">
        <f>'ПДФО ГРОМАДИ'!N480</f>
        <v>17338.900000000001</v>
      </c>
    </row>
    <row r="481" spans="1:6" ht="15.75" x14ac:dyDescent="0.25">
      <c r="A481" s="34" t="s">
        <v>773</v>
      </c>
      <c r="B481" s="34" t="s">
        <v>984</v>
      </c>
      <c r="C481" s="30" t="s">
        <v>737</v>
      </c>
      <c r="D481" s="32" t="s">
        <v>1631</v>
      </c>
      <c r="E481" s="5">
        <f>'ПДФО ГРОМАДИ'!M481</f>
        <v>0</v>
      </c>
      <c r="F481" s="5">
        <f>'ПДФО ГРОМАДИ'!N481</f>
        <v>4572.5</v>
      </c>
    </row>
    <row r="482" spans="1:6" ht="15.75" x14ac:dyDescent="0.25">
      <c r="A482" s="34" t="s">
        <v>773</v>
      </c>
      <c r="B482" s="34" t="s">
        <v>985</v>
      </c>
      <c r="C482" s="30" t="s">
        <v>831</v>
      </c>
      <c r="D482" s="32" t="s">
        <v>1368</v>
      </c>
      <c r="E482" s="5">
        <f>'ПДФО ГРОМАДИ'!M482</f>
        <v>0</v>
      </c>
      <c r="F482" s="5">
        <f>'ПДФО ГРОМАДИ'!N482</f>
        <v>5413</v>
      </c>
    </row>
    <row r="483" spans="1:6" ht="15.75" x14ac:dyDescent="0.25">
      <c r="A483" s="34" t="s">
        <v>773</v>
      </c>
      <c r="B483" s="34" t="s">
        <v>984</v>
      </c>
      <c r="C483" s="30" t="s">
        <v>832</v>
      </c>
      <c r="D483" s="32" t="s">
        <v>2743</v>
      </c>
      <c r="E483" s="5">
        <f>'ПДФО ГРОМАДИ'!M483</f>
        <v>0</v>
      </c>
      <c r="F483" s="5">
        <f>'ПДФО ГРОМАДИ'!N483</f>
        <v>0</v>
      </c>
    </row>
    <row r="484" spans="1:6" ht="15.75" x14ac:dyDescent="0.25">
      <c r="A484" s="34" t="s">
        <v>773</v>
      </c>
      <c r="B484" s="34" t="s">
        <v>984</v>
      </c>
      <c r="C484" s="30" t="s">
        <v>833</v>
      </c>
      <c r="D484" s="32" t="s">
        <v>1632</v>
      </c>
      <c r="E484" s="5">
        <f>'ПДФО ГРОМАДИ'!M484</f>
        <v>0</v>
      </c>
      <c r="F484" s="5">
        <f>'ПДФО ГРОМАДИ'!N484</f>
        <v>5071.3999999999996</v>
      </c>
    </row>
    <row r="485" spans="1:6" ht="15.75" x14ac:dyDescent="0.25">
      <c r="A485" s="35" t="s">
        <v>773</v>
      </c>
      <c r="B485" s="34" t="s">
        <v>986</v>
      </c>
      <c r="C485" s="30" t="s">
        <v>979</v>
      </c>
      <c r="D485" s="32" t="s">
        <v>1633</v>
      </c>
      <c r="E485" s="5">
        <f>'ПДФО ГРОМАДИ'!M485</f>
        <v>0</v>
      </c>
      <c r="F485" s="5">
        <f>'ПДФО ГРОМАДИ'!N485</f>
        <v>74901.100000000006</v>
      </c>
    </row>
    <row r="486" spans="1:6" ht="15.75" x14ac:dyDescent="0.25">
      <c r="A486" s="35" t="s">
        <v>773</v>
      </c>
      <c r="B486" s="34" t="s">
        <v>985</v>
      </c>
      <c r="C486" s="30" t="s">
        <v>980</v>
      </c>
      <c r="D486" s="32" t="s">
        <v>1634</v>
      </c>
      <c r="E486" s="5">
        <f>'ПДФО ГРОМАДИ'!M486</f>
        <v>0</v>
      </c>
      <c r="F486" s="5">
        <f>'ПДФО ГРОМАДИ'!N486</f>
        <v>5434.3</v>
      </c>
    </row>
    <row r="487" spans="1:6" ht="15.75" x14ac:dyDescent="0.25">
      <c r="A487" s="35" t="s">
        <v>773</v>
      </c>
      <c r="B487" s="34" t="s">
        <v>984</v>
      </c>
      <c r="C487" s="30" t="s">
        <v>988</v>
      </c>
      <c r="D487" s="32" t="s">
        <v>1635</v>
      </c>
      <c r="E487" s="5">
        <f>'ПДФО ГРОМАДИ'!M487</f>
        <v>0</v>
      </c>
      <c r="F487" s="5">
        <f>'ПДФО ГРОМАДИ'!N487</f>
        <v>7657.4</v>
      </c>
    </row>
    <row r="488" spans="1:6" ht="15.75" x14ac:dyDescent="0.25">
      <c r="A488" s="35" t="s">
        <v>773</v>
      </c>
      <c r="B488" s="34" t="s">
        <v>983</v>
      </c>
      <c r="C488" s="30" t="s">
        <v>989</v>
      </c>
      <c r="D488" s="32" t="s">
        <v>1636</v>
      </c>
      <c r="E488" s="5">
        <f>'ПДФО ГРОМАДИ'!M488</f>
        <v>11475.1</v>
      </c>
      <c r="F488" s="5">
        <f>'ПДФО ГРОМАДИ'!N488</f>
        <v>0</v>
      </c>
    </row>
    <row r="489" spans="1:6" ht="15.75" x14ac:dyDescent="0.25">
      <c r="A489" s="35" t="s">
        <v>773</v>
      </c>
      <c r="B489" s="34" t="s">
        <v>985</v>
      </c>
      <c r="C489" s="30" t="s">
        <v>990</v>
      </c>
      <c r="D489" s="32" t="s">
        <v>1637</v>
      </c>
      <c r="E489" s="5">
        <f>'ПДФО ГРОМАДИ'!M489</f>
        <v>0</v>
      </c>
      <c r="F489" s="5">
        <f>'ПДФО ГРОМАДИ'!N489</f>
        <v>1442.7</v>
      </c>
    </row>
    <row r="490" spans="1:6" ht="15.75" x14ac:dyDescent="0.25">
      <c r="A490" s="35" t="s">
        <v>773</v>
      </c>
      <c r="B490" s="34" t="s">
        <v>984</v>
      </c>
      <c r="C490" s="30" t="s">
        <v>1042</v>
      </c>
      <c r="D490" s="32" t="s">
        <v>1638</v>
      </c>
      <c r="E490" s="5">
        <f>'ПДФО ГРОМАДИ'!M490</f>
        <v>0</v>
      </c>
      <c r="F490" s="5">
        <f>'ПДФО ГРОМАДИ'!N490</f>
        <v>3241.3</v>
      </c>
    </row>
    <row r="491" spans="1:6" ht="15.75" x14ac:dyDescent="0.25">
      <c r="A491" s="35" t="s">
        <v>773</v>
      </c>
      <c r="B491" s="34" t="s">
        <v>984</v>
      </c>
      <c r="C491" s="30" t="s">
        <v>1043</v>
      </c>
      <c r="D491" s="32" t="s">
        <v>1639</v>
      </c>
      <c r="E491" s="5">
        <f>'ПДФО ГРОМАДИ'!M491</f>
        <v>0</v>
      </c>
      <c r="F491" s="5">
        <f>'ПДФО ГРОМАДИ'!N491</f>
        <v>0</v>
      </c>
    </row>
    <row r="492" spans="1:6" ht="15.75" x14ac:dyDescent="0.25">
      <c r="A492" s="35" t="s">
        <v>773</v>
      </c>
      <c r="B492" s="34" t="s">
        <v>984</v>
      </c>
      <c r="C492" s="30" t="s">
        <v>1044</v>
      </c>
      <c r="D492" s="32" t="s">
        <v>1640</v>
      </c>
      <c r="E492" s="5">
        <f>'ПДФО ГРОМАДИ'!M492</f>
        <v>0</v>
      </c>
      <c r="F492" s="5">
        <f>'ПДФО ГРОМАДИ'!N492</f>
        <v>5445.9</v>
      </c>
    </row>
    <row r="493" spans="1:6" ht="15.75" x14ac:dyDescent="0.25">
      <c r="A493" s="35" t="s">
        <v>773</v>
      </c>
      <c r="B493" s="34" t="s">
        <v>984</v>
      </c>
      <c r="C493" s="30" t="s">
        <v>1045</v>
      </c>
      <c r="D493" s="32" t="s">
        <v>1641</v>
      </c>
      <c r="E493" s="5">
        <f>'ПДФО ГРОМАДИ'!M493</f>
        <v>488.9</v>
      </c>
      <c r="F493" s="5">
        <f>'ПДФО ГРОМАДИ'!N493</f>
        <v>0</v>
      </c>
    </row>
    <row r="494" spans="1:6" ht="15.75" x14ac:dyDescent="0.25">
      <c r="A494" s="35" t="s">
        <v>773</v>
      </c>
      <c r="B494" s="34" t="s">
        <v>985</v>
      </c>
      <c r="C494" s="30" t="s">
        <v>2744</v>
      </c>
      <c r="D494" s="32" t="s">
        <v>1642</v>
      </c>
      <c r="E494" s="5">
        <f>'ПДФО ГРОМАДИ'!M494</f>
        <v>0</v>
      </c>
      <c r="F494" s="5">
        <f>'ПДФО ГРОМАДИ'!N494</f>
        <v>135.1</v>
      </c>
    </row>
    <row r="495" spans="1:6" ht="15.75" x14ac:dyDescent="0.25">
      <c r="A495" s="35" t="s">
        <v>773</v>
      </c>
      <c r="B495" s="34" t="s">
        <v>984</v>
      </c>
      <c r="C495" s="30" t="s">
        <v>1046</v>
      </c>
      <c r="D495" s="32" t="s">
        <v>1643</v>
      </c>
      <c r="E495" s="5">
        <f>'ПДФО ГРОМАДИ'!M495</f>
        <v>0</v>
      </c>
      <c r="F495" s="5">
        <f>'ПДФО ГРОМАДИ'!N495</f>
        <v>800.6</v>
      </c>
    </row>
    <row r="496" spans="1:6" s="75" customFormat="1" ht="15.75" x14ac:dyDescent="0.25">
      <c r="A496" s="35" t="s">
        <v>773</v>
      </c>
      <c r="B496" s="34" t="s">
        <v>985</v>
      </c>
      <c r="C496" s="30" t="s">
        <v>1644</v>
      </c>
      <c r="D496" s="80" t="s">
        <v>1645</v>
      </c>
      <c r="E496" s="5">
        <f>'ПДФО ГРОМАДИ'!M496</f>
        <v>0</v>
      </c>
      <c r="F496" s="5">
        <f>'ПДФО ГРОМАДИ'!N496</f>
        <v>4684.3999999999996</v>
      </c>
    </row>
    <row r="497" spans="1:6" ht="15.75" x14ac:dyDescent="0.25">
      <c r="A497" s="35" t="s">
        <v>773</v>
      </c>
      <c r="B497" s="34" t="s">
        <v>983</v>
      </c>
      <c r="C497" s="30" t="s">
        <v>1646</v>
      </c>
      <c r="D497" s="80" t="s">
        <v>1647</v>
      </c>
      <c r="E497" s="5">
        <f>'ПДФО ГРОМАДИ'!M497</f>
        <v>0</v>
      </c>
      <c r="F497" s="5">
        <f>'ПДФО ГРОМАДИ'!N497</f>
        <v>2376.1999999999998</v>
      </c>
    </row>
    <row r="498" spans="1:6" ht="15.75" x14ac:dyDescent="0.25">
      <c r="A498" s="35" t="s">
        <v>773</v>
      </c>
      <c r="B498" s="34" t="s">
        <v>983</v>
      </c>
      <c r="C498" s="30" t="s">
        <v>1648</v>
      </c>
      <c r="D498" s="80" t="s">
        <v>1649</v>
      </c>
      <c r="E498" s="5">
        <f>'ПДФО ГРОМАДИ'!M498</f>
        <v>0</v>
      </c>
      <c r="F498" s="5">
        <f>'ПДФО ГРОМАДИ'!N498</f>
        <v>0</v>
      </c>
    </row>
    <row r="499" spans="1:6" ht="15.75" x14ac:dyDescent="0.25">
      <c r="A499" s="35" t="s">
        <v>773</v>
      </c>
      <c r="B499" s="34" t="s">
        <v>983</v>
      </c>
      <c r="C499" s="30" t="s">
        <v>1650</v>
      </c>
      <c r="D499" s="80" t="s">
        <v>1651</v>
      </c>
      <c r="E499" s="5">
        <f>'ПДФО ГРОМАДИ'!M499</f>
        <v>0</v>
      </c>
      <c r="F499" s="5">
        <f>'ПДФО ГРОМАДИ'!N499</f>
        <v>15337.3</v>
      </c>
    </row>
    <row r="500" spans="1:6" ht="15.75" x14ac:dyDescent="0.25">
      <c r="A500" s="35" t="s">
        <v>773</v>
      </c>
      <c r="B500" s="34" t="s">
        <v>986</v>
      </c>
      <c r="C500" s="30" t="s">
        <v>1652</v>
      </c>
      <c r="D500" s="80" t="s">
        <v>1653</v>
      </c>
      <c r="E500" s="5">
        <f>'ПДФО ГРОМАДИ'!M500</f>
        <v>224368.2</v>
      </c>
      <c r="F500" s="5">
        <f>'ПДФО ГРОМАДИ'!N500</f>
        <v>0</v>
      </c>
    </row>
    <row r="501" spans="1:6" ht="15.75" x14ac:dyDescent="0.25">
      <c r="A501" s="35" t="s">
        <v>773</v>
      </c>
      <c r="B501" s="34" t="s">
        <v>986</v>
      </c>
      <c r="C501" s="30" t="s">
        <v>1654</v>
      </c>
      <c r="D501" s="80" t="s">
        <v>1655</v>
      </c>
      <c r="E501" s="5">
        <f>'ПДФО ГРОМАДИ'!M501</f>
        <v>493435.2</v>
      </c>
      <c r="F501" s="5">
        <f>'ПДФО ГРОМАДИ'!N501</f>
        <v>0</v>
      </c>
    </row>
    <row r="502" spans="1:6" ht="15.75" x14ac:dyDescent="0.25">
      <c r="A502" s="35" t="s">
        <v>773</v>
      </c>
      <c r="B502" s="34" t="s">
        <v>984</v>
      </c>
      <c r="C502" s="30" t="s">
        <v>1656</v>
      </c>
      <c r="D502" s="80" t="s">
        <v>1657</v>
      </c>
      <c r="E502" s="5">
        <f>'ПДФО ГРОМАДИ'!M502</f>
        <v>0</v>
      </c>
      <c r="F502" s="5">
        <f>'ПДФО ГРОМАДИ'!N502</f>
        <v>4176.1000000000004</v>
      </c>
    </row>
    <row r="503" spans="1:6" ht="15.75" x14ac:dyDescent="0.25">
      <c r="A503" s="35" t="s">
        <v>773</v>
      </c>
      <c r="B503" s="34" t="s">
        <v>984</v>
      </c>
      <c r="C503" s="30" t="s">
        <v>1658</v>
      </c>
      <c r="D503" s="80" t="s">
        <v>1659</v>
      </c>
      <c r="E503" s="5">
        <f>'ПДФО ГРОМАДИ'!M503</f>
        <v>0</v>
      </c>
      <c r="F503" s="5">
        <f>'ПДФО ГРОМАДИ'!N503</f>
        <v>25107.1</v>
      </c>
    </row>
    <row r="504" spans="1:6" ht="15.75" x14ac:dyDescent="0.25">
      <c r="A504" s="35" t="s">
        <v>773</v>
      </c>
      <c r="B504" s="34" t="s">
        <v>985</v>
      </c>
      <c r="C504" s="30" t="s">
        <v>1660</v>
      </c>
      <c r="D504" s="80" t="s">
        <v>1661</v>
      </c>
      <c r="E504" s="5">
        <f>'ПДФО ГРОМАДИ'!M504</f>
        <v>0</v>
      </c>
      <c r="F504" s="5">
        <f>'ПДФО ГРОМАДИ'!N504</f>
        <v>29789</v>
      </c>
    </row>
    <row r="505" spans="1:6" ht="15.75" x14ac:dyDescent="0.25">
      <c r="A505" s="35" t="s">
        <v>773</v>
      </c>
      <c r="B505" s="34" t="s">
        <v>984</v>
      </c>
      <c r="C505" s="30" t="s">
        <v>1662</v>
      </c>
      <c r="D505" s="80" t="s">
        <v>1663</v>
      </c>
      <c r="E505" s="5">
        <f>'ПДФО ГРОМАДИ'!M505</f>
        <v>55028</v>
      </c>
      <c r="F505" s="5">
        <f>'ПДФО ГРОМАДИ'!N505</f>
        <v>0</v>
      </c>
    </row>
    <row r="506" spans="1:6" ht="15.75" x14ac:dyDescent="0.25">
      <c r="A506" s="35" t="s">
        <v>773</v>
      </c>
      <c r="B506" s="34" t="s">
        <v>984</v>
      </c>
      <c r="C506" s="30" t="s">
        <v>1664</v>
      </c>
      <c r="D506" s="80" t="s">
        <v>1665</v>
      </c>
      <c r="E506" s="5">
        <f>'ПДФО ГРОМАДИ'!M506</f>
        <v>0</v>
      </c>
      <c r="F506" s="5">
        <f>'ПДФО ГРОМАДИ'!N506</f>
        <v>2163.6</v>
      </c>
    </row>
    <row r="507" spans="1:6" ht="15.75" x14ac:dyDescent="0.25">
      <c r="A507" s="35" t="s">
        <v>773</v>
      </c>
      <c r="B507" s="34" t="s">
        <v>986</v>
      </c>
      <c r="C507" s="30" t="s">
        <v>1666</v>
      </c>
      <c r="D507" s="80" t="s">
        <v>1667</v>
      </c>
      <c r="E507" s="5">
        <f>'ПДФО ГРОМАДИ'!M507</f>
        <v>0</v>
      </c>
      <c r="F507" s="5">
        <f>'ПДФО ГРОМАДИ'!N507</f>
        <v>57936.7</v>
      </c>
    </row>
    <row r="508" spans="1:6" ht="15.75" x14ac:dyDescent="0.25">
      <c r="A508" s="35" t="s">
        <v>773</v>
      </c>
      <c r="B508" s="34" t="s">
        <v>984</v>
      </c>
      <c r="C508" s="30" t="s">
        <v>1668</v>
      </c>
      <c r="D508" s="80" t="s">
        <v>1669</v>
      </c>
      <c r="E508" s="5">
        <f>'ПДФО ГРОМАДИ'!M508</f>
        <v>0</v>
      </c>
      <c r="F508" s="5">
        <f>'ПДФО ГРОМАДИ'!N508</f>
        <v>4138.2</v>
      </c>
    </row>
    <row r="509" spans="1:6" ht="15.75" x14ac:dyDescent="0.25">
      <c r="A509" s="35" t="s">
        <v>773</v>
      </c>
      <c r="B509" s="34" t="s">
        <v>983</v>
      </c>
      <c r="C509" s="30" t="s">
        <v>1670</v>
      </c>
      <c r="D509" s="80" t="s">
        <v>1671</v>
      </c>
      <c r="E509" s="5">
        <f>'ПДФО ГРОМАДИ'!M509</f>
        <v>0</v>
      </c>
      <c r="F509" s="5">
        <f>'ПДФО ГРОМАДИ'!N509</f>
        <v>4637.1000000000004</v>
      </c>
    </row>
    <row r="510" spans="1:6" ht="15.75" x14ac:dyDescent="0.25">
      <c r="A510" s="35" t="s">
        <v>773</v>
      </c>
      <c r="B510" s="34" t="s">
        <v>985</v>
      </c>
      <c r="C510" s="30" t="s">
        <v>1672</v>
      </c>
      <c r="D510" s="80" t="s">
        <v>1673</v>
      </c>
      <c r="E510" s="5">
        <f>'ПДФО ГРОМАДИ'!M510</f>
        <v>0</v>
      </c>
      <c r="F510" s="5">
        <f>'ПДФО ГРОМАДИ'!N510</f>
        <v>9381.1</v>
      </c>
    </row>
    <row r="511" spans="1:6" ht="15.75" x14ac:dyDescent="0.25">
      <c r="A511" s="35" t="s">
        <v>773</v>
      </c>
      <c r="B511" s="34" t="s">
        <v>985</v>
      </c>
      <c r="C511" s="30" t="s">
        <v>1674</v>
      </c>
      <c r="D511" s="80" t="s">
        <v>1675</v>
      </c>
      <c r="E511" s="5">
        <f>'ПДФО ГРОМАДИ'!M511</f>
        <v>0</v>
      </c>
      <c r="F511" s="5">
        <f>'ПДФО ГРОМАДИ'!N511</f>
        <v>3478.3</v>
      </c>
    </row>
    <row r="512" spans="1:6" ht="15.75" x14ac:dyDescent="0.25">
      <c r="A512" s="35" t="s">
        <v>773</v>
      </c>
      <c r="B512" s="34" t="s">
        <v>984</v>
      </c>
      <c r="C512" s="30" t="s">
        <v>1676</v>
      </c>
      <c r="D512" s="80" t="s">
        <v>1677</v>
      </c>
      <c r="E512" s="5">
        <f>'ПДФО ГРОМАДИ'!M512</f>
        <v>0</v>
      </c>
      <c r="F512" s="5">
        <f>'ПДФО ГРОМАДИ'!N512</f>
        <v>10029.4</v>
      </c>
    </row>
    <row r="513" spans="1:6" ht="15.75" x14ac:dyDescent="0.25">
      <c r="A513" s="35" t="s">
        <v>773</v>
      </c>
      <c r="B513" s="34" t="s">
        <v>985</v>
      </c>
      <c r="C513" s="30" t="s">
        <v>1678</v>
      </c>
      <c r="D513" s="80" t="s">
        <v>1679</v>
      </c>
      <c r="E513" s="5">
        <f>'ПДФО ГРОМАДИ'!M513</f>
        <v>0</v>
      </c>
      <c r="F513" s="5">
        <f>'ПДФО ГРОМАДИ'!N513</f>
        <v>14513.8</v>
      </c>
    </row>
    <row r="514" spans="1:6" ht="15.75" x14ac:dyDescent="0.25">
      <c r="A514" s="35" t="s">
        <v>773</v>
      </c>
      <c r="B514" s="34" t="s">
        <v>984</v>
      </c>
      <c r="C514" s="30" t="s">
        <v>1680</v>
      </c>
      <c r="D514" s="80" t="s">
        <v>2838</v>
      </c>
      <c r="E514" s="5">
        <f>'ПДФО ГРОМАДИ'!M514</f>
        <v>0</v>
      </c>
      <c r="F514" s="5">
        <f>'ПДФО ГРОМАДИ'!N514</f>
        <v>6888.4</v>
      </c>
    </row>
    <row r="515" spans="1:6" ht="15.75" x14ac:dyDescent="0.25">
      <c r="A515" s="35" t="s">
        <v>773</v>
      </c>
      <c r="B515" s="34" t="s">
        <v>986</v>
      </c>
      <c r="C515" s="30" t="s">
        <v>1681</v>
      </c>
      <c r="D515" s="80" t="s">
        <v>1682</v>
      </c>
      <c r="E515" s="5">
        <f>'ПДФО ГРОМАДИ'!M515</f>
        <v>0</v>
      </c>
      <c r="F515" s="5">
        <f>'ПДФО ГРОМАДИ'!N515</f>
        <v>30724.400000000001</v>
      </c>
    </row>
    <row r="516" spans="1:6" ht="15.75" x14ac:dyDescent="0.25">
      <c r="A516" s="17" t="s">
        <v>777</v>
      </c>
      <c r="B516" s="17" t="s">
        <v>7</v>
      </c>
      <c r="C516" s="17" t="s">
        <v>778</v>
      </c>
      <c r="D516" s="11" t="s">
        <v>13</v>
      </c>
      <c r="E516" s="11">
        <f>E517+E518+E525</f>
        <v>100207.70000000001</v>
      </c>
      <c r="F516" s="11">
        <f>F517+F518+F525</f>
        <v>1330618.4999999998</v>
      </c>
    </row>
    <row r="517" spans="1:6" ht="15.75" x14ac:dyDescent="0.25">
      <c r="A517" s="33" t="s">
        <v>777</v>
      </c>
      <c r="B517" s="34" t="s">
        <v>6</v>
      </c>
      <c r="C517" s="18" t="s">
        <v>96</v>
      </c>
      <c r="D517" s="32" t="s">
        <v>846</v>
      </c>
      <c r="E517" s="5">
        <f>'ПДФО ОБЛАСНІ'!K11+'ПОДАТОК НА ПРИБУТОК'!K11</f>
        <v>0</v>
      </c>
      <c r="F517" s="5">
        <f>'ПДФО ОБЛАСНІ'!L11+'ПОДАТОК НА ПРИБУТОК'!L11</f>
        <v>226634</v>
      </c>
    </row>
    <row r="518" spans="1:6" ht="15.75" x14ac:dyDescent="0.25">
      <c r="A518" s="19" t="s">
        <v>777</v>
      </c>
      <c r="B518" s="19" t="s">
        <v>5</v>
      </c>
      <c r="C518" s="19" t="s">
        <v>779</v>
      </c>
      <c r="D518" s="7" t="s">
        <v>2801</v>
      </c>
      <c r="E518" s="7">
        <f>SUM(E519:E524)</f>
        <v>0</v>
      </c>
      <c r="F518" s="7">
        <f>SUM(F519:F524)</f>
        <v>0</v>
      </c>
    </row>
    <row r="519" spans="1:6" ht="21.75" customHeight="1" x14ac:dyDescent="0.25">
      <c r="A519" s="33" t="s">
        <v>777</v>
      </c>
      <c r="B519" s="34" t="s">
        <v>4</v>
      </c>
      <c r="C519" s="18" t="s">
        <v>2745</v>
      </c>
      <c r="D519" s="32" t="s">
        <v>2746</v>
      </c>
      <c r="E519" s="5">
        <f>'ПДФО ГРОМАДИ'!M519</f>
        <v>0</v>
      </c>
      <c r="F519" s="5">
        <f>'ПДФО ГРОМАДИ'!N519</f>
        <v>0</v>
      </c>
    </row>
    <row r="520" spans="1:6" ht="15.75" x14ac:dyDescent="0.25">
      <c r="A520" s="33" t="s">
        <v>777</v>
      </c>
      <c r="B520" s="34" t="s">
        <v>4</v>
      </c>
      <c r="C520" s="18" t="s">
        <v>97</v>
      </c>
      <c r="D520" s="32" t="s">
        <v>911</v>
      </c>
      <c r="E520" s="5">
        <f>'ПДФО ГРОМАДИ'!M520</f>
        <v>0</v>
      </c>
      <c r="F520" s="5">
        <f>'ПДФО ГРОМАДИ'!N520</f>
        <v>0</v>
      </c>
    </row>
    <row r="521" spans="1:6" ht="15.75" x14ac:dyDescent="0.25">
      <c r="A521" s="33" t="s">
        <v>777</v>
      </c>
      <c r="B521" s="34" t="s">
        <v>4</v>
      </c>
      <c r="C521" s="18" t="s">
        <v>98</v>
      </c>
      <c r="D521" s="32" t="s">
        <v>912</v>
      </c>
      <c r="E521" s="5">
        <f>'ПДФО ГРОМАДИ'!M521</f>
        <v>0</v>
      </c>
      <c r="F521" s="5">
        <f>'ПДФО ГРОМАДИ'!N521</f>
        <v>0</v>
      </c>
    </row>
    <row r="522" spans="1:6" ht="15.75" x14ac:dyDescent="0.25">
      <c r="A522" s="33" t="s">
        <v>777</v>
      </c>
      <c r="B522" s="34" t="s">
        <v>4</v>
      </c>
      <c r="C522" s="18" t="s">
        <v>99</v>
      </c>
      <c r="D522" s="32" t="s">
        <v>913</v>
      </c>
      <c r="E522" s="5">
        <f>'ПДФО ГРОМАДИ'!M522</f>
        <v>0</v>
      </c>
      <c r="F522" s="5">
        <f>'ПДФО ГРОМАДИ'!N522</f>
        <v>0</v>
      </c>
    </row>
    <row r="523" spans="1:6" ht="15.75" x14ac:dyDescent="0.25">
      <c r="A523" s="33" t="s">
        <v>777</v>
      </c>
      <c r="B523" s="34" t="s">
        <v>4</v>
      </c>
      <c r="C523" s="18" t="s">
        <v>100</v>
      </c>
      <c r="D523" s="32" t="s">
        <v>914</v>
      </c>
      <c r="E523" s="5">
        <f>'ПДФО ГРОМАДИ'!M523</f>
        <v>0</v>
      </c>
      <c r="F523" s="5">
        <f>'ПДФО ГРОМАДИ'!N523</f>
        <v>0</v>
      </c>
    </row>
    <row r="524" spans="1:6" ht="15.75" x14ac:dyDescent="0.25">
      <c r="A524" s="33" t="s">
        <v>777</v>
      </c>
      <c r="B524" s="34" t="s">
        <v>4</v>
      </c>
      <c r="C524" s="30" t="s">
        <v>1683</v>
      </c>
      <c r="D524" s="32" t="s">
        <v>1684</v>
      </c>
      <c r="E524" s="5">
        <f>'ПДФО ГРОМАДИ'!M524</f>
        <v>0</v>
      </c>
      <c r="F524" s="5">
        <f>'ПДФО ГРОМАДИ'!N524</f>
        <v>0</v>
      </c>
    </row>
    <row r="525" spans="1:6" ht="15.75" x14ac:dyDescent="0.25">
      <c r="A525" s="19" t="s">
        <v>777</v>
      </c>
      <c r="B525" s="19" t="s">
        <v>28</v>
      </c>
      <c r="C525" s="19" t="s">
        <v>780</v>
      </c>
      <c r="D525" s="20" t="s">
        <v>2775</v>
      </c>
      <c r="E525" s="7">
        <f>SUM(E526:E587)</f>
        <v>100207.70000000001</v>
      </c>
      <c r="F525" s="7">
        <f>SUM(F526:F587)</f>
        <v>1103984.4999999998</v>
      </c>
    </row>
    <row r="526" spans="1:6" ht="15.75" x14ac:dyDescent="0.25">
      <c r="A526" s="33" t="s">
        <v>777</v>
      </c>
      <c r="B526" s="34" t="s">
        <v>984</v>
      </c>
      <c r="C526" s="18" t="s">
        <v>101</v>
      </c>
      <c r="D526" s="32" t="s">
        <v>1685</v>
      </c>
      <c r="E526" s="5">
        <f>'ПДФО ГРОМАДИ'!M526</f>
        <v>0</v>
      </c>
      <c r="F526" s="5">
        <f>'ПДФО ГРОМАДИ'!N526</f>
        <v>16407.2</v>
      </c>
    </row>
    <row r="527" spans="1:6" ht="15.75" x14ac:dyDescent="0.25">
      <c r="A527" s="33" t="s">
        <v>777</v>
      </c>
      <c r="B527" s="34" t="s">
        <v>985</v>
      </c>
      <c r="C527" s="18" t="s">
        <v>102</v>
      </c>
      <c r="D527" s="32" t="s">
        <v>1686</v>
      </c>
      <c r="E527" s="5">
        <f>'ПДФО ГРОМАДИ'!M527</f>
        <v>0</v>
      </c>
      <c r="F527" s="5">
        <f>'ПДФО ГРОМАДИ'!N527</f>
        <v>31414.400000000001</v>
      </c>
    </row>
    <row r="528" spans="1:6" ht="15.75" x14ac:dyDescent="0.25">
      <c r="A528" s="33" t="s">
        <v>777</v>
      </c>
      <c r="B528" s="34" t="s">
        <v>984</v>
      </c>
      <c r="C528" s="18" t="s">
        <v>103</v>
      </c>
      <c r="D528" s="32" t="s">
        <v>1687</v>
      </c>
      <c r="E528" s="5">
        <f>'ПДФО ГРОМАДИ'!M528</f>
        <v>0</v>
      </c>
      <c r="F528" s="5">
        <f>'ПДФО ГРОМАДИ'!N528</f>
        <v>10953</v>
      </c>
    </row>
    <row r="529" spans="1:6" ht="15.75" x14ac:dyDescent="0.25">
      <c r="A529" s="33" t="s">
        <v>777</v>
      </c>
      <c r="B529" s="34" t="s">
        <v>984</v>
      </c>
      <c r="C529" s="18" t="s">
        <v>293</v>
      </c>
      <c r="D529" s="32" t="s">
        <v>1688</v>
      </c>
      <c r="E529" s="5">
        <f>'ПДФО ГРОМАДИ'!M529</f>
        <v>0</v>
      </c>
      <c r="F529" s="5">
        <f>'ПДФО ГРОМАДИ'!N529</f>
        <v>14264.9</v>
      </c>
    </row>
    <row r="530" spans="1:6" ht="15.75" x14ac:dyDescent="0.25">
      <c r="A530" s="33" t="s">
        <v>777</v>
      </c>
      <c r="B530" s="34" t="s">
        <v>983</v>
      </c>
      <c r="C530" s="18" t="s">
        <v>369</v>
      </c>
      <c r="D530" s="32" t="s">
        <v>1689</v>
      </c>
      <c r="E530" s="5">
        <f>'ПДФО ГРОМАДИ'!M530</f>
        <v>0</v>
      </c>
      <c r="F530" s="5">
        <f>'ПДФО ГРОМАДИ'!N530</f>
        <v>41781.199999999997</v>
      </c>
    </row>
    <row r="531" spans="1:6" ht="15.75" x14ac:dyDescent="0.25">
      <c r="A531" s="33" t="s">
        <v>777</v>
      </c>
      <c r="B531" s="34" t="s">
        <v>985</v>
      </c>
      <c r="C531" s="18" t="s">
        <v>370</v>
      </c>
      <c r="D531" s="32" t="s">
        <v>1690</v>
      </c>
      <c r="E531" s="5">
        <f>'ПДФО ГРОМАДИ'!M531</f>
        <v>0</v>
      </c>
      <c r="F531" s="5">
        <f>'ПДФО ГРОМАДИ'!N531</f>
        <v>12785.1</v>
      </c>
    </row>
    <row r="532" spans="1:6" ht="15.75" x14ac:dyDescent="0.25">
      <c r="A532" s="33" t="s">
        <v>777</v>
      </c>
      <c r="B532" s="34" t="s">
        <v>984</v>
      </c>
      <c r="C532" s="18" t="s">
        <v>371</v>
      </c>
      <c r="D532" s="32" t="s">
        <v>1691</v>
      </c>
      <c r="E532" s="5">
        <f>'ПДФО ГРОМАДИ'!M532</f>
        <v>0</v>
      </c>
      <c r="F532" s="5">
        <f>'ПДФО ГРОМАДИ'!N532</f>
        <v>10912.5</v>
      </c>
    </row>
    <row r="533" spans="1:6" ht="15.75" x14ac:dyDescent="0.25">
      <c r="A533" s="33" t="s">
        <v>777</v>
      </c>
      <c r="B533" s="34" t="s">
        <v>984</v>
      </c>
      <c r="C533" s="18" t="s">
        <v>372</v>
      </c>
      <c r="D533" s="32" t="s">
        <v>1692</v>
      </c>
      <c r="E533" s="5">
        <f>'ПДФО ГРОМАДИ'!M533</f>
        <v>0</v>
      </c>
      <c r="F533" s="5">
        <f>'ПДФО ГРОМАДИ'!N533</f>
        <v>15801.2</v>
      </c>
    </row>
    <row r="534" spans="1:6" ht="15.75" x14ac:dyDescent="0.25">
      <c r="A534" s="33" t="s">
        <v>777</v>
      </c>
      <c r="B534" s="34" t="s">
        <v>984</v>
      </c>
      <c r="C534" s="18" t="s">
        <v>373</v>
      </c>
      <c r="D534" s="32" t="s">
        <v>1693</v>
      </c>
      <c r="E534" s="5">
        <f>'ПДФО ГРОМАДИ'!M534</f>
        <v>0</v>
      </c>
      <c r="F534" s="5">
        <f>'ПДФО ГРОМАДИ'!N534</f>
        <v>13913.6</v>
      </c>
    </row>
    <row r="535" spans="1:6" ht="15.75" x14ac:dyDescent="0.25">
      <c r="A535" s="33" t="s">
        <v>777</v>
      </c>
      <c r="B535" s="34" t="s">
        <v>984</v>
      </c>
      <c r="C535" s="18" t="s">
        <v>374</v>
      </c>
      <c r="D535" s="32" t="s">
        <v>1694</v>
      </c>
      <c r="E535" s="5">
        <f>'ПДФО ГРОМАДИ'!M535</f>
        <v>0</v>
      </c>
      <c r="F535" s="5">
        <f>'ПДФО ГРОМАДИ'!N535</f>
        <v>24663.9</v>
      </c>
    </row>
    <row r="536" spans="1:6" ht="15.75" x14ac:dyDescent="0.25">
      <c r="A536" s="33" t="s">
        <v>777</v>
      </c>
      <c r="B536" s="34" t="s">
        <v>984</v>
      </c>
      <c r="C536" s="18" t="s">
        <v>375</v>
      </c>
      <c r="D536" s="32" t="s">
        <v>1695</v>
      </c>
      <c r="E536" s="5">
        <f>'ПДФО ГРОМАДИ'!M536</f>
        <v>0</v>
      </c>
      <c r="F536" s="5">
        <f>'ПДФО ГРОМАДИ'!N536</f>
        <v>20667.2</v>
      </c>
    </row>
    <row r="537" spans="1:6" ht="15.75" x14ac:dyDescent="0.25">
      <c r="A537" s="33" t="s">
        <v>777</v>
      </c>
      <c r="B537" s="34" t="s">
        <v>984</v>
      </c>
      <c r="C537" s="18" t="s">
        <v>484</v>
      </c>
      <c r="D537" s="32" t="s">
        <v>1696</v>
      </c>
      <c r="E537" s="5">
        <f>'ПДФО ГРОМАДИ'!M537</f>
        <v>0</v>
      </c>
      <c r="F537" s="5">
        <f>'ПДФО ГРОМАДИ'!N537</f>
        <v>15554.3</v>
      </c>
    </row>
    <row r="538" spans="1:6" ht="15.75" x14ac:dyDescent="0.25">
      <c r="A538" s="33" t="s">
        <v>777</v>
      </c>
      <c r="B538" s="34" t="s">
        <v>984</v>
      </c>
      <c r="C538" s="18" t="s">
        <v>560</v>
      </c>
      <c r="D538" s="32" t="s">
        <v>1697</v>
      </c>
      <c r="E538" s="5">
        <f>'ПДФО ГРОМАДИ'!M538</f>
        <v>0</v>
      </c>
      <c r="F538" s="5">
        <f>'ПДФО ГРОМАДИ'!N538</f>
        <v>16380.3</v>
      </c>
    </row>
    <row r="539" spans="1:6" ht="15.75" x14ac:dyDescent="0.25">
      <c r="A539" s="33" t="s">
        <v>777</v>
      </c>
      <c r="B539" s="34" t="s">
        <v>984</v>
      </c>
      <c r="C539" s="18" t="s">
        <v>561</v>
      </c>
      <c r="D539" s="32" t="s">
        <v>1698</v>
      </c>
      <c r="E539" s="5">
        <f>'ПДФО ГРОМАДИ'!M539</f>
        <v>0</v>
      </c>
      <c r="F539" s="5">
        <f>'ПДФО ГРОМАДИ'!N539</f>
        <v>23786.2</v>
      </c>
    </row>
    <row r="540" spans="1:6" s="24" customFormat="1" ht="15.75" x14ac:dyDescent="0.25">
      <c r="A540" s="33" t="s">
        <v>777</v>
      </c>
      <c r="B540" s="34" t="s">
        <v>985</v>
      </c>
      <c r="C540" s="18" t="s">
        <v>562</v>
      </c>
      <c r="D540" s="32" t="s">
        <v>1699</v>
      </c>
      <c r="E540" s="5">
        <f>'ПДФО ГРОМАДИ'!M540</f>
        <v>0</v>
      </c>
      <c r="F540" s="5">
        <f>'ПДФО ГРОМАДИ'!N540</f>
        <v>28951.599999999999</v>
      </c>
    </row>
    <row r="541" spans="1:6" s="24" customFormat="1" ht="15.75" x14ac:dyDescent="0.25">
      <c r="A541" s="33" t="s">
        <v>777</v>
      </c>
      <c r="B541" s="34" t="s">
        <v>984</v>
      </c>
      <c r="C541" s="18" t="s">
        <v>563</v>
      </c>
      <c r="D541" s="32" t="s">
        <v>1700</v>
      </c>
      <c r="E541" s="5">
        <f>'ПДФО ГРОМАДИ'!M541</f>
        <v>0</v>
      </c>
      <c r="F541" s="5">
        <f>'ПДФО ГРОМАДИ'!N541</f>
        <v>17783.5</v>
      </c>
    </row>
    <row r="542" spans="1:6" s="24" customFormat="1" ht="15.75" x14ac:dyDescent="0.25">
      <c r="A542" s="33" t="s">
        <v>777</v>
      </c>
      <c r="B542" s="34" t="s">
        <v>985</v>
      </c>
      <c r="C542" s="18" t="s">
        <v>564</v>
      </c>
      <c r="D542" s="32" t="s">
        <v>1701</v>
      </c>
      <c r="E542" s="5">
        <f>'ПДФО ГРОМАДИ'!M542</f>
        <v>0</v>
      </c>
      <c r="F542" s="5">
        <f>'ПДФО ГРОМАДИ'!N542</f>
        <v>21620.5</v>
      </c>
    </row>
    <row r="543" spans="1:6" s="24" customFormat="1" ht="15.75" x14ac:dyDescent="0.25">
      <c r="A543" s="33" t="s">
        <v>777</v>
      </c>
      <c r="B543" s="34" t="s">
        <v>985</v>
      </c>
      <c r="C543" s="18" t="s">
        <v>565</v>
      </c>
      <c r="D543" s="32" t="s">
        <v>1702</v>
      </c>
      <c r="E543" s="5">
        <f>'ПДФО ГРОМАДИ'!M543</f>
        <v>0</v>
      </c>
      <c r="F543" s="5">
        <f>'ПДФО ГРОМАДИ'!N543</f>
        <v>35380.800000000003</v>
      </c>
    </row>
    <row r="544" spans="1:6" ht="15.75" x14ac:dyDescent="0.25">
      <c r="A544" s="33" t="s">
        <v>777</v>
      </c>
      <c r="B544" s="34" t="s">
        <v>984</v>
      </c>
      <c r="C544" s="18" t="s">
        <v>566</v>
      </c>
      <c r="D544" s="32" t="s">
        <v>1703</v>
      </c>
      <c r="E544" s="5">
        <f>'ПДФО ГРОМАДИ'!M544</f>
        <v>28250.5</v>
      </c>
      <c r="F544" s="5">
        <f>'ПДФО ГРОМАДИ'!N544</f>
        <v>0</v>
      </c>
    </row>
    <row r="545" spans="1:6" ht="15.75" x14ac:dyDescent="0.25">
      <c r="A545" s="33" t="s">
        <v>777</v>
      </c>
      <c r="B545" s="34" t="s">
        <v>985</v>
      </c>
      <c r="C545" s="18" t="s">
        <v>567</v>
      </c>
      <c r="D545" s="32" t="s">
        <v>1704</v>
      </c>
      <c r="E545" s="5">
        <f>'ПДФО ГРОМАДИ'!M545</f>
        <v>0</v>
      </c>
      <c r="F545" s="5">
        <f>'ПДФО ГРОМАДИ'!N545</f>
        <v>4856.6000000000004</v>
      </c>
    </row>
    <row r="546" spans="1:6" ht="15.75" x14ac:dyDescent="0.25">
      <c r="A546" s="33" t="s">
        <v>777</v>
      </c>
      <c r="B546" s="34" t="s">
        <v>985</v>
      </c>
      <c r="C546" s="18" t="s">
        <v>691</v>
      </c>
      <c r="D546" s="32" t="s">
        <v>1705</v>
      </c>
      <c r="E546" s="5">
        <f>'ПДФО ГРОМАДИ'!M546</f>
        <v>0</v>
      </c>
      <c r="F546" s="5">
        <f>'ПДФО ГРОМАДИ'!N546</f>
        <v>17985.599999999999</v>
      </c>
    </row>
    <row r="547" spans="1:6" ht="15.75" x14ac:dyDescent="0.25">
      <c r="A547" s="33" t="s">
        <v>777</v>
      </c>
      <c r="B547" s="34" t="s">
        <v>985</v>
      </c>
      <c r="C547" s="18" t="s">
        <v>692</v>
      </c>
      <c r="D547" s="32" t="s">
        <v>1706</v>
      </c>
      <c r="E547" s="5">
        <f>'ПДФО ГРОМАДИ'!M547</f>
        <v>0</v>
      </c>
      <c r="F547" s="5">
        <f>'ПДФО ГРОМАДИ'!N547</f>
        <v>32537</v>
      </c>
    </row>
    <row r="548" spans="1:6" ht="15.75" x14ac:dyDescent="0.25">
      <c r="A548" s="33" t="s">
        <v>777</v>
      </c>
      <c r="B548" s="34" t="s">
        <v>984</v>
      </c>
      <c r="C548" s="18" t="s">
        <v>693</v>
      </c>
      <c r="D548" s="32" t="s">
        <v>1707</v>
      </c>
      <c r="E548" s="5">
        <f>'ПДФО ГРОМАДИ'!M548</f>
        <v>0</v>
      </c>
      <c r="F548" s="5">
        <f>'ПДФО ГРОМАДИ'!N548</f>
        <v>11007.6</v>
      </c>
    </row>
    <row r="549" spans="1:6" ht="15.75" x14ac:dyDescent="0.25">
      <c r="A549" s="33" t="s">
        <v>777</v>
      </c>
      <c r="B549" s="34" t="s">
        <v>984</v>
      </c>
      <c r="C549" s="18" t="s">
        <v>834</v>
      </c>
      <c r="D549" s="32" t="s">
        <v>1708</v>
      </c>
      <c r="E549" s="5">
        <f>'ПДФО ГРОМАДИ'!M549</f>
        <v>0</v>
      </c>
      <c r="F549" s="5">
        <f>'ПДФО ГРОМАДИ'!N549</f>
        <v>7367.6</v>
      </c>
    </row>
    <row r="550" spans="1:6" ht="15.75" x14ac:dyDescent="0.25">
      <c r="A550" s="33" t="s">
        <v>777</v>
      </c>
      <c r="B550" s="34" t="s">
        <v>984</v>
      </c>
      <c r="C550" s="18" t="s">
        <v>835</v>
      </c>
      <c r="D550" s="32" t="s">
        <v>1709</v>
      </c>
      <c r="E550" s="5">
        <f>'ПДФО ГРОМАДИ'!M550</f>
        <v>0</v>
      </c>
      <c r="F550" s="5">
        <f>'ПДФО ГРОМАДИ'!N550</f>
        <v>4133.2</v>
      </c>
    </row>
    <row r="551" spans="1:6" ht="15.75" x14ac:dyDescent="0.25">
      <c r="A551" s="33" t="s">
        <v>777</v>
      </c>
      <c r="B551" s="34" t="s">
        <v>985</v>
      </c>
      <c r="C551" s="18" t="s">
        <v>873</v>
      </c>
      <c r="D551" s="32" t="s">
        <v>1710</v>
      </c>
      <c r="E551" s="5">
        <f>'ПДФО ГРОМАДИ'!M551</f>
        <v>0</v>
      </c>
      <c r="F551" s="5">
        <f>'ПДФО ГРОМАДИ'!N551</f>
        <v>8118.2</v>
      </c>
    </row>
    <row r="552" spans="1:6" ht="15.75" x14ac:dyDescent="0.25">
      <c r="A552" s="33" t="s">
        <v>777</v>
      </c>
      <c r="B552" s="34" t="s">
        <v>985</v>
      </c>
      <c r="C552" s="18" t="s">
        <v>874</v>
      </c>
      <c r="D552" s="32" t="s">
        <v>1711</v>
      </c>
      <c r="E552" s="5">
        <f>'ПДФО ГРОМАДИ'!M552</f>
        <v>0</v>
      </c>
      <c r="F552" s="5">
        <f>'ПДФО ГРОМАДИ'!N552</f>
        <v>19463.099999999999</v>
      </c>
    </row>
    <row r="553" spans="1:6" ht="15.75" x14ac:dyDescent="0.25">
      <c r="A553" s="33" t="s">
        <v>777</v>
      </c>
      <c r="B553" s="34" t="s">
        <v>984</v>
      </c>
      <c r="C553" s="18" t="s">
        <v>875</v>
      </c>
      <c r="D553" s="32" t="s">
        <v>1712</v>
      </c>
      <c r="E553" s="5">
        <f>'ПДФО ГРОМАДИ'!M553</f>
        <v>0</v>
      </c>
      <c r="F553" s="5">
        <f>'ПДФО ГРОМАДИ'!N553</f>
        <v>15577.7</v>
      </c>
    </row>
    <row r="554" spans="1:6" ht="15.75" x14ac:dyDescent="0.25">
      <c r="A554" s="33" t="s">
        <v>777</v>
      </c>
      <c r="B554" s="34" t="s">
        <v>984</v>
      </c>
      <c r="C554" s="18" t="s">
        <v>876</v>
      </c>
      <c r="D554" s="32" t="s">
        <v>1713</v>
      </c>
      <c r="E554" s="5">
        <f>'ПДФО ГРОМАДИ'!M554</f>
        <v>0</v>
      </c>
      <c r="F554" s="5">
        <f>'ПДФО ГРОМАДИ'!N554</f>
        <v>27781.8</v>
      </c>
    </row>
    <row r="555" spans="1:6" ht="15.75" x14ac:dyDescent="0.25">
      <c r="A555" s="33" t="s">
        <v>777</v>
      </c>
      <c r="B555" s="34" t="s">
        <v>986</v>
      </c>
      <c r="C555" s="30" t="s">
        <v>981</v>
      </c>
      <c r="D555" s="32" t="s">
        <v>1714</v>
      </c>
      <c r="E555" s="5">
        <f>'ПДФО ГРОМАДИ'!M555</f>
        <v>0</v>
      </c>
      <c r="F555" s="5">
        <f>'ПДФО ГРОМАДИ'!N555</f>
        <v>0</v>
      </c>
    </row>
    <row r="556" spans="1:6" ht="15.75" x14ac:dyDescent="0.25">
      <c r="A556" s="33" t="s">
        <v>777</v>
      </c>
      <c r="B556" s="34" t="s">
        <v>986</v>
      </c>
      <c r="C556" s="30" t="s">
        <v>991</v>
      </c>
      <c r="D556" s="32" t="s">
        <v>1715</v>
      </c>
      <c r="E556" s="5">
        <f>'ПДФО ГРОМАДИ'!M556</f>
        <v>0</v>
      </c>
      <c r="F556" s="5">
        <f>'ПДФО ГРОМАДИ'!N556</f>
        <v>0</v>
      </c>
    </row>
    <row r="557" spans="1:6" ht="15.75" x14ac:dyDescent="0.25">
      <c r="A557" s="33" t="s">
        <v>777</v>
      </c>
      <c r="B557" s="34" t="s">
        <v>983</v>
      </c>
      <c r="C557" s="30" t="s">
        <v>1024</v>
      </c>
      <c r="D557" s="32" t="s">
        <v>1716</v>
      </c>
      <c r="E557" s="5">
        <f>'ПДФО ГРОМАДИ'!M557</f>
        <v>0</v>
      </c>
      <c r="F557" s="5">
        <f>'ПДФО ГРОМАДИ'!N557</f>
        <v>0</v>
      </c>
    </row>
    <row r="558" spans="1:6" ht="15.75" x14ac:dyDescent="0.25">
      <c r="A558" s="33" t="s">
        <v>777</v>
      </c>
      <c r="B558" s="34" t="s">
        <v>986</v>
      </c>
      <c r="C558" s="30" t="s">
        <v>1047</v>
      </c>
      <c r="D558" s="32" t="s">
        <v>1717</v>
      </c>
      <c r="E558" s="5">
        <f>'ПДФО ГРОМАДИ'!M558</f>
        <v>71720.100000000006</v>
      </c>
      <c r="F558" s="5">
        <f>'ПДФО ГРОМАДИ'!N558</f>
        <v>0</v>
      </c>
    </row>
    <row r="559" spans="1:6" ht="15.75" x14ac:dyDescent="0.25">
      <c r="A559" s="33" t="s">
        <v>777</v>
      </c>
      <c r="B559" s="34" t="s">
        <v>985</v>
      </c>
      <c r="C559" s="30" t="s">
        <v>1048</v>
      </c>
      <c r="D559" s="32" t="s">
        <v>1718</v>
      </c>
      <c r="E559" s="5">
        <f>'ПДФО ГРОМАДИ'!M559</f>
        <v>0</v>
      </c>
      <c r="F559" s="5">
        <f>'ПДФО ГРОМАДИ'!N559</f>
        <v>12996.5</v>
      </c>
    </row>
    <row r="560" spans="1:6" ht="15.75" x14ac:dyDescent="0.25">
      <c r="A560" s="33" t="s">
        <v>777</v>
      </c>
      <c r="B560" s="34" t="s">
        <v>984</v>
      </c>
      <c r="C560" s="30" t="s">
        <v>2747</v>
      </c>
      <c r="D560" s="32" t="s">
        <v>1719</v>
      </c>
      <c r="E560" s="5">
        <f>'ПДФО ГРОМАДИ'!M560</f>
        <v>0</v>
      </c>
      <c r="F560" s="5">
        <f>'ПДФО ГРОМАДИ'!N560</f>
        <v>11682.6</v>
      </c>
    </row>
    <row r="561" spans="1:6" ht="15.75" x14ac:dyDescent="0.25">
      <c r="A561" s="33" t="s">
        <v>777</v>
      </c>
      <c r="B561" s="34" t="s">
        <v>985</v>
      </c>
      <c r="C561" s="30" t="s">
        <v>1049</v>
      </c>
      <c r="D561" s="32" t="s">
        <v>1720</v>
      </c>
      <c r="E561" s="5">
        <f>'ПДФО ГРОМАДИ'!M561</f>
        <v>0</v>
      </c>
      <c r="F561" s="5">
        <f>'ПДФО ГРОМАДИ'!N561</f>
        <v>13433.5</v>
      </c>
    </row>
    <row r="562" spans="1:6" ht="15.75" x14ac:dyDescent="0.25">
      <c r="A562" s="33" t="s">
        <v>777</v>
      </c>
      <c r="B562" s="34" t="s">
        <v>984</v>
      </c>
      <c r="C562" s="30" t="s">
        <v>1721</v>
      </c>
      <c r="D562" s="32" t="s">
        <v>1722</v>
      </c>
      <c r="E562" s="5">
        <f>'ПДФО ГРОМАДИ'!M562</f>
        <v>0</v>
      </c>
      <c r="F562" s="5">
        <f>'ПДФО ГРОМАДИ'!N562</f>
        <v>29723.3</v>
      </c>
    </row>
    <row r="563" spans="1:6" ht="15.75" x14ac:dyDescent="0.25">
      <c r="A563" s="33" t="s">
        <v>777</v>
      </c>
      <c r="B563" s="34" t="s">
        <v>984</v>
      </c>
      <c r="C563" s="30" t="s">
        <v>1050</v>
      </c>
      <c r="D563" s="32" t="s">
        <v>2748</v>
      </c>
      <c r="E563" s="5">
        <f>'ПДФО ГРОМАДИ'!M563</f>
        <v>0</v>
      </c>
      <c r="F563" s="5">
        <f>'ПДФО ГРОМАДИ'!N563</f>
        <v>6796.3</v>
      </c>
    </row>
    <row r="564" spans="1:6" ht="15.75" x14ac:dyDescent="0.25">
      <c r="A564" s="33" t="s">
        <v>777</v>
      </c>
      <c r="B564" s="34" t="s">
        <v>985</v>
      </c>
      <c r="C564" s="30" t="s">
        <v>1723</v>
      </c>
      <c r="D564" s="80" t="s">
        <v>1724</v>
      </c>
      <c r="E564" s="5">
        <f>'ПДФО ГРОМАДИ'!M564</f>
        <v>0</v>
      </c>
      <c r="F564" s="5">
        <f>'ПДФО ГРОМАДИ'!N564</f>
        <v>15766.4</v>
      </c>
    </row>
    <row r="565" spans="1:6" ht="15.75" x14ac:dyDescent="0.25">
      <c r="A565" s="33" t="s">
        <v>777</v>
      </c>
      <c r="B565" s="34" t="s">
        <v>986</v>
      </c>
      <c r="C565" s="30" t="s">
        <v>1725</v>
      </c>
      <c r="D565" s="80" t="s">
        <v>1726</v>
      </c>
      <c r="E565" s="5">
        <f>'ПДФО ГРОМАДИ'!M565</f>
        <v>0</v>
      </c>
      <c r="F565" s="5">
        <f>'ПДФО ГРОМАДИ'!N565</f>
        <v>24627.5</v>
      </c>
    </row>
    <row r="566" spans="1:6" ht="15.75" x14ac:dyDescent="0.25">
      <c r="A566" s="33" t="s">
        <v>777</v>
      </c>
      <c r="B566" s="34" t="s">
        <v>986</v>
      </c>
      <c r="C566" s="30" t="s">
        <v>1727</v>
      </c>
      <c r="D566" s="80" t="s">
        <v>1728</v>
      </c>
      <c r="E566" s="5">
        <f>'ПДФО ГРОМАДИ'!M566</f>
        <v>0</v>
      </c>
      <c r="F566" s="5">
        <f>'ПДФО ГРОМАДИ'!N566</f>
        <v>0</v>
      </c>
    </row>
    <row r="567" spans="1:6" ht="15.75" x14ac:dyDescent="0.25">
      <c r="A567" s="33" t="s">
        <v>777</v>
      </c>
      <c r="B567" s="34" t="s">
        <v>985</v>
      </c>
      <c r="C567" s="30" t="s">
        <v>1729</v>
      </c>
      <c r="D567" s="80" t="s">
        <v>1730</v>
      </c>
      <c r="E567" s="5">
        <f>'ПДФО ГРОМАДИ'!M567</f>
        <v>0</v>
      </c>
      <c r="F567" s="5">
        <f>'ПДФО ГРОМАДИ'!N567</f>
        <v>24526.5</v>
      </c>
    </row>
    <row r="568" spans="1:6" ht="15.75" x14ac:dyDescent="0.25">
      <c r="A568" s="33" t="s">
        <v>777</v>
      </c>
      <c r="B568" s="34" t="s">
        <v>985</v>
      </c>
      <c r="C568" s="30" t="s">
        <v>1731</v>
      </c>
      <c r="D568" s="80" t="s">
        <v>2828</v>
      </c>
      <c r="E568" s="5">
        <f>'ПДФО ГРОМАДИ'!M568</f>
        <v>0</v>
      </c>
      <c r="F568" s="5">
        <f>'ПДФО ГРОМАДИ'!N568</f>
        <v>5997.4</v>
      </c>
    </row>
    <row r="569" spans="1:6" ht="15.75" x14ac:dyDescent="0.25">
      <c r="A569" s="33" t="s">
        <v>777</v>
      </c>
      <c r="B569" s="34" t="s">
        <v>983</v>
      </c>
      <c r="C569" s="30" t="s">
        <v>1732</v>
      </c>
      <c r="D569" s="80" t="s">
        <v>1733</v>
      </c>
      <c r="E569" s="5">
        <f>'ПДФО ГРОМАДИ'!M569</f>
        <v>0</v>
      </c>
      <c r="F569" s="5">
        <f>'ПДФО ГРОМАДИ'!N569</f>
        <v>15797</v>
      </c>
    </row>
    <row r="570" spans="1:6" ht="15.75" x14ac:dyDescent="0.25">
      <c r="A570" s="33" t="s">
        <v>777</v>
      </c>
      <c r="B570" s="34" t="s">
        <v>983</v>
      </c>
      <c r="C570" s="30" t="s">
        <v>1734</v>
      </c>
      <c r="D570" s="80" t="s">
        <v>1735</v>
      </c>
      <c r="E570" s="5">
        <f>'ПДФО ГРОМАДИ'!M570</f>
        <v>0</v>
      </c>
      <c r="F570" s="5">
        <f>'ПДФО ГРОМАДИ'!N570</f>
        <v>51705.5</v>
      </c>
    </row>
    <row r="571" spans="1:6" ht="15.75" x14ac:dyDescent="0.25">
      <c r="A571" s="33" t="s">
        <v>777</v>
      </c>
      <c r="B571" s="34" t="s">
        <v>984</v>
      </c>
      <c r="C571" s="30" t="s">
        <v>1736</v>
      </c>
      <c r="D571" s="80" t="s">
        <v>1737</v>
      </c>
      <c r="E571" s="5">
        <f>'ПДФО ГРОМАДИ'!M571</f>
        <v>0</v>
      </c>
      <c r="F571" s="5">
        <f>'ПДФО ГРОМАДИ'!N571</f>
        <v>3768.7</v>
      </c>
    </row>
    <row r="572" spans="1:6" ht="15.75" x14ac:dyDescent="0.25">
      <c r="A572" s="33" t="s">
        <v>777</v>
      </c>
      <c r="B572" s="34" t="s">
        <v>984</v>
      </c>
      <c r="C572" s="30" t="s">
        <v>1738</v>
      </c>
      <c r="D572" s="80" t="s">
        <v>1739</v>
      </c>
      <c r="E572" s="5">
        <f>'ПДФО ГРОМАДИ'!M572</f>
        <v>0</v>
      </c>
      <c r="F572" s="5">
        <f>'ПДФО ГРОМАДИ'!N572</f>
        <v>3435.5</v>
      </c>
    </row>
    <row r="573" spans="1:6" ht="15.75" x14ac:dyDescent="0.25">
      <c r="A573" s="33" t="s">
        <v>777</v>
      </c>
      <c r="B573" s="34" t="s">
        <v>983</v>
      </c>
      <c r="C573" s="30" t="s">
        <v>1740</v>
      </c>
      <c r="D573" s="80" t="s">
        <v>1741</v>
      </c>
      <c r="E573" s="5">
        <f>'ПДФО ГРОМАДИ'!M573</f>
        <v>0</v>
      </c>
      <c r="F573" s="5">
        <f>'ПДФО ГРОМАДИ'!N573</f>
        <v>34414</v>
      </c>
    </row>
    <row r="574" spans="1:6" ht="15.75" x14ac:dyDescent="0.25">
      <c r="A574" s="33" t="s">
        <v>777</v>
      </c>
      <c r="B574" s="34" t="s">
        <v>985</v>
      </c>
      <c r="C574" s="30" t="s">
        <v>1742</v>
      </c>
      <c r="D574" s="80" t="s">
        <v>1743</v>
      </c>
      <c r="E574" s="5">
        <f>'ПДФО ГРОМАДИ'!M574</f>
        <v>0</v>
      </c>
      <c r="F574" s="5">
        <f>'ПДФО ГРОМАДИ'!N574</f>
        <v>31344.7</v>
      </c>
    </row>
    <row r="575" spans="1:6" ht="15.75" x14ac:dyDescent="0.25">
      <c r="A575" s="33" t="s">
        <v>777</v>
      </c>
      <c r="B575" s="34" t="s">
        <v>985</v>
      </c>
      <c r="C575" s="30" t="s">
        <v>1744</v>
      </c>
      <c r="D575" s="80" t="s">
        <v>1745</v>
      </c>
      <c r="E575" s="5">
        <f>'ПДФО ГРОМАДИ'!M575</f>
        <v>0</v>
      </c>
      <c r="F575" s="5">
        <f>'ПДФО ГРОМАДИ'!N575</f>
        <v>7755.4</v>
      </c>
    </row>
    <row r="576" spans="1:6" ht="15.75" x14ac:dyDescent="0.25">
      <c r="A576" s="33" t="s">
        <v>777</v>
      </c>
      <c r="B576" s="34" t="s">
        <v>983</v>
      </c>
      <c r="C576" s="30" t="s">
        <v>1746</v>
      </c>
      <c r="D576" s="80" t="s">
        <v>1747</v>
      </c>
      <c r="E576" s="5">
        <f>'ПДФО ГРОМАДИ'!M576</f>
        <v>0</v>
      </c>
      <c r="F576" s="5">
        <f>'ПДФО ГРОМАДИ'!N576</f>
        <v>0</v>
      </c>
    </row>
    <row r="577" spans="1:6" ht="15.75" x14ac:dyDescent="0.25">
      <c r="A577" s="33" t="s">
        <v>777</v>
      </c>
      <c r="B577" s="34" t="s">
        <v>985</v>
      </c>
      <c r="C577" s="30" t="s">
        <v>1748</v>
      </c>
      <c r="D577" s="80" t="s">
        <v>1749</v>
      </c>
      <c r="E577" s="5">
        <f>'ПДФО ГРОМАДИ'!M577</f>
        <v>0</v>
      </c>
      <c r="F577" s="5">
        <f>'ПДФО ГРОМАДИ'!N577</f>
        <v>14716.5</v>
      </c>
    </row>
    <row r="578" spans="1:6" ht="15.75" x14ac:dyDescent="0.25">
      <c r="A578" s="33" t="s">
        <v>777</v>
      </c>
      <c r="B578" s="34" t="s">
        <v>985</v>
      </c>
      <c r="C578" s="30" t="s">
        <v>1750</v>
      </c>
      <c r="D578" s="80" t="s">
        <v>1751</v>
      </c>
      <c r="E578" s="5">
        <f>'ПДФО ГРОМАДИ'!M578</f>
        <v>0</v>
      </c>
      <c r="F578" s="5">
        <f>'ПДФО ГРОМАДИ'!N578</f>
        <v>39034.9</v>
      </c>
    </row>
    <row r="579" spans="1:6" ht="15.75" x14ac:dyDescent="0.25">
      <c r="A579" s="33" t="s">
        <v>777</v>
      </c>
      <c r="B579" s="34" t="s">
        <v>985</v>
      </c>
      <c r="C579" s="30" t="s">
        <v>1752</v>
      </c>
      <c r="D579" s="80" t="s">
        <v>1753</v>
      </c>
      <c r="E579" s="5">
        <f>'ПДФО ГРОМАДИ'!M579</f>
        <v>0</v>
      </c>
      <c r="F579" s="5">
        <f>'ПДФО ГРОМАДИ'!N579</f>
        <v>41775.1</v>
      </c>
    </row>
    <row r="580" spans="1:6" ht="15.75" x14ac:dyDescent="0.25">
      <c r="A580" s="33" t="s">
        <v>777</v>
      </c>
      <c r="B580" s="34" t="s">
        <v>984</v>
      </c>
      <c r="C580" s="30" t="s">
        <v>1754</v>
      </c>
      <c r="D580" s="80" t="s">
        <v>1755</v>
      </c>
      <c r="E580" s="5">
        <f>'ПДФО ГРОМАДИ'!M580</f>
        <v>237.1</v>
      </c>
      <c r="F580" s="5">
        <f>'ПДФО ГРОМАДИ'!N580</f>
        <v>0</v>
      </c>
    </row>
    <row r="581" spans="1:6" ht="15.75" x14ac:dyDescent="0.25">
      <c r="A581" s="33" t="s">
        <v>777</v>
      </c>
      <c r="B581" s="34" t="s">
        <v>983</v>
      </c>
      <c r="C581" s="30" t="s">
        <v>1756</v>
      </c>
      <c r="D581" s="80" t="s">
        <v>1757</v>
      </c>
      <c r="E581" s="5">
        <f>'ПДФО ГРОМАДИ'!M581</f>
        <v>0</v>
      </c>
      <c r="F581" s="5">
        <f>'ПДФО ГРОМАДИ'!N581</f>
        <v>22517.599999999999</v>
      </c>
    </row>
    <row r="582" spans="1:6" ht="15.75" x14ac:dyDescent="0.25">
      <c r="A582" s="33" t="s">
        <v>777</v>
      </c>
      <c r="B582" s="34" t="s">
        <v>985</v>
      </c>
      <c r="C582" s="30" t="s">
        <v>1758</v>
      </c>
      <c r="D582" s="80" t="s">
        <v>1759</v>
      </c>
      <c r="E582" s="5">
        <f>'ПДФО ГРОМАДИ'!M582</f>
        <v>0</v>
      </c>
      <c r="F582" s="5">
        <f>'ПДФО ГРОМАДИ'!N582</f>
        <v>22169</v>
      </c>
    </row>
    <row r="583" spans="1:6" ht="15.75" x14ac:dyDescent="0.25">
      <c r="A583" s="33" t="s">
        <v>777</v>
      </c>
      <c r="B583" s="34" t="s">
        <v>983</v>
      </c>
      <c r="C583" s="30" t="s">
        <v>1760</v>
      </c>
      <c r="D583" s="80" t="s">
        <v>1761</v>
      </c>
      <c r="E583" s="5">
        <f>'ПДФО ГРОМАДИ'!M583</f>
        <v>0</v>
      </c>
      <c r="F583" s="5">
        <f>'ПДФО ГРОМАДИ'!N583</f>
        <v>47032.4</v>
      </c>
    </row>
    <row r="584" spans="1:6" ht="15.75" x14ac:dyDescent="0.25">
      <c r="A584" s="33" t="s">
        <v>777</v>
      </c>
      <c r="B584" s="34" t="s">
        <v>985</v>
      </c>
      <c r="C584" s="30" t="s">
        <v>1762</v>
      </c>
      <c r="D584" s="80" t="s">
        <v>1577</v>
      </c>
      <c r="E584" s="5">
        <f>'ПДФО ГРОМАДИ'!M584</f>
        <v>0</v>
      </c>
      <c r="F584" s="5">
        <f>'ПДФО ГРОМАДИ'!N584</f>
        <v>48751.8</v>
      </c>
    </row>
    <row r="585" spans="1:6" ht="15.75" x14ac:dyDescent="0.25">
      <c r="A585" s="33" t="s">
        <v>777</v>
      </c>
      <c r="B585" s="34" t="s">
        <v>983</v>
      </c>
      <c r="C585" s="30" t="s">
        <v>1763</v>
      </c>
      <c r="D585" s="80" t="s">
        <v>1764</v>
      </c>
      <c r="E585" s="5">
        <f>'ПДФО ГРОМАДИ'!M585</f>
        <v>0</v>
      </c>
      <c r="F585" s="5">
        <f>'ПДФО ГРОМАДИ'!N585</f>
        <v>38162.699999999997</v>
      </c>
    </row>
    <row r="586" spans="1:6" ht="15.75" x14ac:dyDescent="0.25">
      <c r="A586" s="33" t="s">
        <v>777</v>
      </c>
      <c r="B586" s="34" t="s">
        <v>985</v>
      </c>
      <c r="C586" s="30" t="s">
        <v>1765</v>
      </c>
      <c r="D586" s="80" t="s">
        <v>1766</v>
      </c>
      <c r="E586" s="5">
        <f>'ПДФО ГРОМАДИ'!M586</f>
        <v>0</v>
      </c>
      <c r="F586" s="5">
        <f>'ПДФО ГРОМАДИ'!N586</f>
        <v>9843.9</v>
      </c>
    </row>
    <row r="587" spans="1:6" ht="15.75" x14ac:dyDescent="0.25">
      <c r="A587" s="33" t="s">
        <v>777</v>
      </c>
      <c r="B587" s="34" t="s">
        <v>986</v>
      </c>
      <c r="C587" s="30" t="s">
        <v>1767</v>
      </c>
      <c r="D587" s="80" t="s">
        <v>1768</v>
      </c>
      <c r="E587" s="5">
        <f>'ПДФО ГРОМАДИ'!M587</f>
        <v>0</v>
      </c>
      <c r="F587" s="5">
        <f>'ПДФО ГРОМАДИ'!N587</f>
        <v>4360</v>
      </c>
    </row>
    <row r="588" spans="1:6" ht="15.75" x14ac:dyDescent="0.25">
      <c r="A588" s="36">
        <v>10</v>
      </c>
      <c r="B588" s="17" t="s">
        <v>7</v>
      </c>
      <c r="C588" s="17" t="s">
        <v>781</v>
      </c>
      <c r="D588" s="11" t="s">
        <v>14</v>
      </c>
      <c r="E588" s="11">
        <f>E589+E590+E598</f>
        <v>1371633.6</v>
      </c>
      <c r="F588" s="11">
        <f>F589+F590+F598</f>
        <v>202250.9</v>
      </c>
    </row>
    <row r="589" spans="1:6" ht="15.75" x14ac:dyDescent="0.25">
      <c r="A589" s="39">
        <v>10</v>
      </c>
      <c r="B589" s="34" t="s">
        <v>6</v>
      </c>
      <c r="C589" s="18" t="s">
        <v>104</v>
      </c>
      <c r="D589" s="32" t="s">
        <v>847</v>
      </c>
      <c r="E589" s="5">
        <f>'ПДФО ОБЛАСНІ'!K12+'ПОДАТОК НА ПРИБУТОК'!K12</f>
        <v>249510.9</v>
      </c>
      <c r="F589" s="5">
        <f>'ПДФО ОБЛАСНІ'!L12+'ПОДАТОК НА ПРИБУТОК'!L12</f>
        <v>0</v>
      </c>
    </row>
    <row r="590" spans="1:6" s="24" customFormat="1" ht="15.75" x14ac:dyDescent="0.25">
      <c r="A590" s="37">
        <v>10</v>
      </c>
      <c r="B590" s="19" t="s">
        <v>5</v>
      </c>
      <c r="C590" s="19" t="s">
        <v>782</v>
      </c>
      <c r="D590" s="7" t="s">
        <v>2802</v>
      </c>
      <c r="E590" s="7">
        <f>SUM(E591:E597)</f>
        <v>0</v>
      </c>
      <c r="F590" s="7">
        <f>SUM(F591:F597)</f>
        <v>0</v>
      </c>
    </row>
    <row r="591" spans="1:6" s="24" customFormat="1" ht="15.75" x14ac:dyDescent="0.25">
      <c r="A591" s="38">
        <v>10</v>
      </c>
      <c r="B591" s="34" t="s">
        <v>4</v>
      </c>
      <c r="C591" s="18" t="s">
        <v>105</v>
      </c>
      <c r="D591" s="32" t="s">
        <v>915</v>
      </c>
      <c r="E591" s="5">
        <f>'ПДФО ГРОМАДИ'!M591</f>
        <v>0</v>
      </c>
      <c r="F591" s="5">
        <f>'ПДФО ГРОМАДИ'!N591</f>
        <v>0</v>
      </c>
    </row>
    <row r="592" spans="1:6" s="24" customFormat="1" ht="15.75" x14ac:dyDescent="0.25">
      <c r="A592" s="38">
        <v>10</v>
      </c>
      <c r="B592" s="34" t="s">
        <v>4</v>
      </c>
      <c r="C592" s="18" t="s">
        <v>106</v>
      </c>
      <c r="D592" s="32" t="s">
        <v>916</v>
      </c>
      <c r="E592" s="5">
        <f>'ПДФО ГРОМАДИ'!M592</f>
        <v>0</v>
      </c>
      <c r="F592" s="5">
        <f>'ПДФО ГРОМАДИ'!N592</f>
        <v>0</v>
      </c>
    </row>
    <row r="593" spans="1:6" s="24" customFormat="1" ht="15.75" x14ac:dyDescent="0.25">
      <c r="A593" s="38">
        <v>10</v>
      </c>
      <c r="B593" s="34" t="s">
        <v>4</v>
      </c>
      <c r="C593" s="18" t="s">
        <v>2749</v>
      </c>
      <c r="D593" s="32" t="s">
        <v>2750</v>
      </c>
      <c r="E593" s="5">
        <f>'ПДФО ГРОМАДИ'!M593</f>
        <v>0</v>
      </c>
      <c r="F593" s="5">
        <f>'ПДФО ГРОМАДИ'!N593</f>
        <v>0</v>
      </c>
    </row>
    <row r="594" spans="1:6" ht="15.75" x14ac:dyDescent="0.25">
      <c r="A594" s="38">
        <v>10</v>
      </c>
      <c r="B594" s="34" t="s">
        <v>4</v>
      </c>
      <c r="C594" s="18" t="s">
        <v>2751</v>
      </c>
      <c r="D594" s="32" t="s">
        <v>2752</v>
      </c>
      <c r="E594" s="5">
        <f>'ПДФО ГРОМАДИ'!M594</f>
        <v>0</v>
      </c>
      <c r="F594" s="5">
        <f>'ПДФО ГРОМАДИ'!N594</f>
        <v>0</v>
      </c>
    </row>
    <row r="595" spans="1:6" ht="15.75" x14ac:dyDescent="0.25">
      <c r="A595" s="38">
        <v>10</v>
      </c>
      <c r="B595" s="34" t="s">
        <v>4</v>
      </c>
      <c r="C595" s="18" t="s">
        <v>107</v>
      </c>
      <c r="D595" s="32" t="s">
        <v>917</v>
      </c>
      <c r="E595" s="5">
        <f>'ПДФО ГРОМАДИ'!M595</f>
        <v>0</v>
      </c>
      <c r="F595" s="5">
        <f>'ПДФО ГРОМАДИ'!N595</f>
        <v>0</v>
      </c>
    </row>
    <row r="596" spans="1:6" ht="15.75" x14ac:dyDescent="0.25">
      <c r="A596" s="38">
        <v>10</v>
      </c>
      <c r="B596" s="34" t="s">
        <v>4</v>
      </c>
      <c r="C596" s="18" t="s">
        <v>108</v>
      </c>
      <c r="D596" s="32" t="s">
        <v>918</v>
      </c>
      <c r="E596" s="5">
        <f>'ПДФО ГРОМАДИ'!M596</f>
        <v>0</v>
      </c>
      <c r="F596" s="5">
        <f>'ПДФО ГРОМАДИ'!N596</f>
        <v>0</v>
      </c>
    </row>
    <row r="597" spans="1:6" ht="15.75" x14ac:dyDescent="0.25">
      <c r="A597" s="38">
        <v>10</v>
      </c>
      <c r="B597" s="34" t="s">
        <v>4</v>
      </c>
      <c r="C597" s="18">
        <v>10325200000</v>
      </c>
      <c r="D597" s="32" t="s">
        <v>1769</v>
      </c>
      <c r="E597" s="5">
        <f>'ПДФО ГРОМАДИ'!M597</f>
        <v>0</v>
      </c>
      <c r="F597" s="5">
        <f>'ПДФО ГРОМАДИ'!N597</f>
        <v>0</v>
      </c>
    </row>
    <row r="598" spans="1:6" ht="15.75" x14ac:dyDescent="0.25">
      <c r="A598" s="37">
        <v>10</v>
      </c>
      <c r="B598" s="19" t="s">
        <v>28</v>
      </c>
      <c r="C598" s="19" t="s">
        <v>783</v>
      </c>
      <c r="D598" s="20" t="s">
        <v>2776</v>
      </c>
      <c r="E598" s="7">
        <f>SUM(E599:E667)</f>
        <v>1122122.7000000002</v>
      </c>
      <c r="F598" s="7">
        <f>SUM(F599:F667)</f>
        <v>202250.9</v>
      </c>
    </row>
    <row r="599" spans="1:6" ht="15.75" x14ac:dyDescent="0.25">
      <c r="A599" s="38">
        <v>10</v>
      </c>
      <c r="B599" s="34" t="s">
        <v>985</v>
      </c>
      <c r="C599" s="18" t="s">
        <v>109</v>
      </c>
      <c r="D599" s="32" t="s">
        <v>1770</v>
      </c>
      <c r="E599" s="5">
        <f>'ПДФО ГРОМАДИ'!M599</f>
        <v>0</v>
      </c>
      <c r="F599" s="5">
        <f>'ПДФО ГРОМАДИ'!N599</f>
        <v>6120.1</v>
      </c>
    </row>
    <row r="600" spans="1:6" ht="15.75" x14ac:dyDescent="0.25">
      <c r="A600" s="38">
        <v>10</v>
      </c>
      <c r="B600" s="34" t="s">
        <v>985</v>
      </c>
      <c r="C600" s="18" t="s">
        <v>284</v>
      </c>
      <c r="D600" s="32" t="s">
        <v>1771</v>
      </c>
      <c r="E600" s="5">
        <f>'ПДФО ГРОМАДИ'!M600</f>
        <v>0</v>
      </c>
      <c r="F600" s="5">
        <f>'ПДФО ГРОМАДИ'!N600</f>
        <v>0</v>
      </c>
    </row>
    <row r="601" spans="1:6" ht="15.75" x14ac:dyDescent="0.25">
      <c r="A601" s="38">
        <v>10</v>
      </c>
      <c r="B601" s="34" t="s">
        <v>984</v>
      </c>
      <c r="C601" s="18" t="s">
        <v>568</v>
      </c>
      <c r="D601" s="32" t="s">
        <v>1772</v>
      </c>
      <c r="E601" s="5">
        <f>'ПДФО ГРОМАДИ'!M601</f>
        <v>0</v>
      </c>
      <c r="F601" s="5">
        <f>'ПДФО ГРОМАДИ'!N601</f>
        <v>2158.3000000000002</v>
      </c>
    </row>
    <row r="602" spans="1:6" ht="15.75" x14ac:dyDescent="0.25">
      <c r="A602" s="38">
        <v>10</v>
      </c>
      <c r="B602" s="34" t="s">
        <v>985</v>
      </c>
      <c r="C602" s="18" t="s">
        <v>569</v>
      </c>
      <c r="D602" s="32" t="s">
        <v>1773</v>
      </c>
      <c r="E602" s="5">
        <f>'ПДФО ГРОМАДИ'!M602</f>
        <v>0</v>
      </c>
      <c r="F602" s="5">
        <f>'ПДФО ГРОМАДИ'!N602</f>
        <v>0</v>
      </c>
    </row>
    <row r="603" spans="1:6" ht="15.75" x14ac:dyDescent="0.25">
      <c r="A603" s="38">
        <v>10</v>
      </c>
      <c r="B603" s="34" t="s">
        <v>984</v>
      </c>
      <c r="C603" s="18" t="s">
        <v>570</v>
      </c>
      <c r="D603" s="32" t="s">
        <v>1774</v>
      </c>
      <c r="E603" s="5">
        <f>'ПДФО ГРОМАДИ'!M603</f>
        <v>3699.9</v>
      </c>
      <c r="F603" s="5">
        <f>'ПДФО ГРОМАДИ'!N603</f>
        <v>0</v>
      </c>
    </row>
    <row r="604" spans="1:6" ht="15.75" x14ac:dyDescent="0.25">
      <c r="A604" s="38">
        <v>10</v>
      </c>
      <c r="B604" s="34" t="s">
        <v>984</v>
      </c>
      <c r="C604" s="18" t="s">
        <v>571</v>
      </c>
      <c r="D604" s="32" t="s">
        <v>1775</v>
      </c>
      <c r="E604" s="5">
        <f>'ПДФО ГРОМАДИ'!M604</f>
        <v>0</v>
      </c>
      <c r="F604" s="5">
        <f>'ПДФО ГРОМАДИ'!N604</f>
        <v>4619.7</v>
      </c>
    </row>
    <row r="605" spans="1:6" ht="15.75" x14ac:dyDescent="0.25">
      <c r="A605" s="38">
        <v>10</v>
      </c>
      <c r="B605" s="34" t="s">
        <v>983</v>
      </c>
      <c r="C605" s="18" t="s">
        <v>694</v>
      </c>
      <c r="D605" s="32" t="s">
        <v>1776</v>
      </c>
      <c r="E605" s="5">
        <f>'ПДФО ГРОМАДИ'!M605</f>
        <v>0</v>
      </c>
      <c r="F605" s="5">
        <f>'ПДФО ГРОМАДИ'!N605</f>
        <v>18144.2</v>
      </c>
    </row>
    <row r="606" spans="1:6" ht="15.75" x14ac:dyDescent="0.25">
      <c r="A606" s="38">
        <v>10</v>
      </c>
      <c r="B606" s="34" t="s">
        <v>983</v>
      </c>
      <c r="C606" s="18" t="s">
        <v>695</v>
      </c>
      <c r="D606" s="32" t="s">
        <v>1777</v>
      </c>
      <c r="E606" s="5">
        <f>'ПДФО ГРОМАДИ'!M606</f>
        <v>0</v>
      </c>
      <c r="F606" s="5">
        <f>'ПДФО ГРОМАДИ'!N606</f>
        <v>9042.4</v>
      </c>
    </row>
    <row r="607" spans="1:6" ht="15.75" x14ac:dyDescent="0.25">
      <c r="A607" s="38">
        <v>10</v>
      </c>
      <c r="B607" s="34" t="s">
        <v>984</v>
      </c>
      <c r="C607" s="18" t="s">
        <v>696</v>
      </c>
      <c r="D607" s="32" t="s">
        <v>1778</v>
      </c>
      <c r="E607" s="5">
        <f>'ПДФО ГРОМАДИ'!M607</f>
        <v>15495.6</v>
      </c>
      <c r="F607" s="5">
        <f>'ПДФО ГРОМАДИ'!N607</f>
        <v>0</v>
      </c>
    </row>
    <row r="608" spans="1:6" ht="15.75" x14ac:dyDescent="0.25">
      <c r="A608" s="38">
        <v>10</v>
      </c>
      <c r="B608" s="34" t="s">
        <v>985</v>
      </c>
      <c r="C608" s="18">
        <v>10510000000</v>
      </c>
      <c r="D608" s="32" t="s">
        <v>1779</v>
      </c>
      <c r="E608" s="5">
        <f>'ПДФО ГРОМАДИ'!M608</f>
        <v>0</v>
      </c>
      <c r="F608" s="5">
        <f>'ПДФО ГРОМАДИ'!N608</f>
        <v>0</v>
      </c>
    </row>
    <row r="609" spans="1:6" ht="15.75" x14ac:dyDescent="0.25">
      <c r="A609" s="38">
        <v>10</v>
      </c>
      <c r="B609" s="34" t="s">
        <v>985</v>
      </c>
      <c r="C609" s="18">
        <v>10511000000</v>
      </c>
      <c r="D609" s="32" t="s">
        <v>1780</v>
      </c>
      <c r="E609" s="5">
        <f>'ПДФО ГРОМАДИ'!M609</f>
        <v>0</v>
      </c>
      <c r="F609" s="5">
        <f>'ПДФО ГРОМАДИ'!N609</f>
        <v>14932.5</v>
      </c>
    </row>
    <row r="610" spans="1:6" ht="15.75" x14ac:dyDescent="0.25">
      <c r="A610" s="38">
        <v>10</v>
      </c>
      <c r="B610" s="34" t="s">
        <v>984</v>
      </c>
      <c r="C610" s="18">
        <v>10512000000</v>
      </c>
      <c r="D610" s="32" t="s">
        <v>1781</v>
      </c>
      <c r="E610" s="5">
        <f>'ПДФО ГРОМАДИ'!M610</f>
        <v>8338.7000000000007</v>
      </c>
      <c r="F610" s="5">
        <f>'ПДФО ГРОМАДИ'!N610</f>
        <v>0</v>
      </c>
    </row>
    <row r="611" spans="1:6" ht="15.75" x14ac:dyDescent="0.25">
      <c r="A611" s="38">
        <v>10</v>
      </c>
      <c r="B611" s="34" t="s">
        <v>983</v>
      </c>
      <c r="C611" s="18">
        <v>10513000000</v>
      </c>
      <c r="D611" s="32" t="s">
        <v>1782</v>
      </c>
      <c r="E611" s="5">
        <f>'ПДФО ГРОМАДИ'!M611</f>
        <v>51116.2</v>
      </c>
      <c r="F611" s="5">
        <f>'ПДФО ГРОМАДИ'!N611</f>
        <v>0</v>
      </c>
    </row>
    <row r="612" spans="1:6" ht="15.75" x14ac:dyDescent="0.25">
      <c r="A612" s="38">
        <v>10</v>
      </c>
      <c r="B612" s="34" t="s">
        <v>986</v>
      </c>
      <c r="C612" s="18">
        <v>10514000000</v>
      </c>
      <c r="D612" s="32" t="s">
        <v>1783</v>
      </c>
      <c r="E612" s="5">
        <f>'ПДФО ГРОМАДИ'!M612</f>
        <v>0</v>
      </c>
      <c r="F612" s="5">
        <f>'ПДФО ГРОМАДИ'!N612</f>
        <v>0</v>
      </c>
    </row>
    <row r="613" spans="1:6" ht="15.75" x14ac:dyDescent="0.25">
      <c r="A613" s="38">
        <v>10</v>
      </c>
      <c r="B613" s="34" t="s">
        <v>986</v>
      </c>
      <c r="C613" s="18">
        <v>10515000000</v>
      </c>
      <c r="D613" s="32" t="s">
        <v>1784</v>
      </c>
      <c r="E613" s="5">
        <f>'ПДФО ГРОМАДИ'!M613</f>
        <v>0</v>
      </c>
      <c r="F613" s="5">
        <f>'ПДФО ГРОМАДИ'!N613</f>
        <v>18409.900000000001</v>
      </c>
    </row>
    <row r="614" spans="1:6" ht="15.75" x14ac:dyDescent="0.25">
      <c r="A614" s="38">
        <v>10</v>
      </c>
      <c r="B614" s="34" t="s">
        <v>986</v>
      </c>
      <c r="C614" s="18">
        <v>10516000000</v>
      </c>
      <c r="D614" s="32" t="s">
        <v>1785</v>
      </c>
      <c r="E614" s="5">
        <f>'ПДФО ГРОМАДИ'!M614</f>
        <v>0</v>
      </c>
      <c r="F614" s="5">
        <f>'ПДФО ГРОМАДИ'!N614</f>
        <v>6472.7</v>
      </c>
    </row>
    <row r="615" spans="1:6" ht="15.75" x14ac:dyDescent="0.25">
      <c r="A615" s="38">
        <v>10</v>
      </c>
      <c r="B615" s="34" t="s">
        <v>986</v>
      </c>
      <c r="C615" s="18">
        <v>10517000000</v>
      </c>
      <c r="D615" s="32" t="s">
        <v>1786</v>
      </c>
      <c r="E615" s="5">
        <f>'ПДФО ГРОМАДИ'!M615</f>
        <v>62141.7</v>
      </c>
      <c r="F615" s="5">
        <f>'ПДФО ГРОМАДИ'!N615</f>
        <v>0</v>
      </c>
    </row>
    <row r="616" spans="1:6" ht="15.75" x14ac:dyDescent="0.25">
      <c r="A616" s="38">
        <v>10</v>
      </c>
      <c r="B616" s="34" t="s">
        <v>983</v>
      </c>
      <c r="C616" s="18">
        <v>10518000000</v>
      </c>
      <c r="D616" s="32" t="s">
        <v>1787</v>
      </c>
      <c r="E616" s="5">
        <f>'ПДФО ГРОМАДИ'!M616</f>
        <v>0</v>
      </c>
      <c r="F616" s="5">
        <f>'ПДФО ГРОМАДИ'!N616</f>
        <v>10762.2</v>
      </c>
    </row>
    <row r="617" spans="1:6" ht="15.75" x14ac:dyDescent="0.25">
      <c r="A617" s="38">
        <v>10</v>
      </c>
      <c r="B617" s="34" t="s">
        <v>985</v>
      </c>
      <c r="C617" s="18">
        <v>10519000000</v>
      </c>
      <c r="D617" s="32" t="s">
        <v>2829</v>
      </c>
      <c r="E617" s="5">
        <f>'ПДФО ГРОМАДИ'!M617</f>
        <v>5997.7</v>
      </c>
      <c r="F617" s="5">
        <f>'ПДФО ГРОМАДИ'!N617</f>
        <v>0</v>
      </c>
    </row>
    <row r="618" spans="1:6" ht="15.75" x14ac:dyDescent="0.25">
      <c r="A618" s="38">
        <v>10</v>
      </c>
      <c r="B618" s="34" t="s">
        <v>984</v>
      </c>
      <c r="C618" s="18">
        <v>10520000000</v>
      </c>
      <c r="D618" s="32" t="s">
        <v>1788</v>
      </c>
      <c r="E618" s="5">
        <f>'ПДФО ГРОМАДИ'!M618</f>
        <v>15104.3</v>
      </c>
      <c r="F618" s="5">
        <f>'ПДФО ГРОМАДИ'!N618</f>
        <v>0</v>
      </c>
    </row>
    <row r="619" spans="1:6" ht="15.75" x14ac:dyDescent="0.25">
      <c r="A619" s="38">
        <v>10</v>
      </c>
      <c r="B619" s="34" t="s">
        <v>984</v>
      </c>
      <c r="C619" s="18">
        <v>10521000000</v>
      </c>
      <c r="D619" s="32" t="s">
        <v>1789</v>
      </c>
      <c r="E619" s="5">
        <f>'ПДФО ГРОМАДИ'!M619</f>
        <v>564.6</v>
      </c>
      <c r="F619" s="5">
        <f>'ПДФО ГРОМАДИ'!N619</f>
        <v>0</v>
      </c>
    </row>
    <row r="620" spans="1:6" ht="15.75" x14ac:dyDescent="0.25">
      <c r="A620" s="38">
        <v>10</v>
      </c>
      <c r="B620" s="34" t="s">
        <v>984</v>
      </c>
      <c r="C620" s="18">
        <v>10522000000</v>
      </c>
      <c r="D620" s="32" t="s">
        <v>1790</v>
      </c>
      <c r="E620" s="5">
        <f>'ПДФО ГРОМАДИ'!M620</f>
        <v>0</v>
      </c>
      <c r="F620" s="5">
        <f>'ПДФО ГРОМАДИ'!N620</f>
        <v>340.9</v>
      </c>
    </row>
    <row r="621" spans="1:6" ht="15.75" x14ac:dyDescent="0.25">
      <c r="A621" s="38">
        <v>10</v>
      </c>
      <c r="B621" s="34" t="s">
        <v>984</v>
      </c>
      <c r="C621" s="18">
        <v>10523000000</v>
      </c>
      <c r="D621" s="32" t="s">
        <v>1791</v>
      </c>
      <c r="E621" s="5">
        <f>'ПДФО ГРОМАДИ'!M621</f>
        <v>0</v>
      </c>
      <c r="F621" s="5">
        <f>'ПДФО ГРОМАДИ'!N621</f>
        <v>0</v>
      </c>
    </row>
    <row r="622" spans="1:6" ht="15.75" x14ac:dyDescent="0.25">
      <c r="A622" s="38">
        <v>10</v>
      </c>
      <c r="B622" s="34" t="s">
        <v>985</v>
      </c>
      <c r="C622" s="18">
        <v>10524000000</v>
      </c>
      <c r="D622" s="32" t="s">
        <v>1792</v>
      </c>
      <c r="E622" s="5">
        <f>'ПДФО ГРОМАДИ'!M622</f>
        <v>42836.1</v>
      </c>
      <c r="F622" s="5">
        <f>'ПДФО ГРОМАДИ'!N622</f>
        <v>0</v>
      </c>
    </row>
    <row r="623" spans="1:6" ht="15.75" x14ac:dyDescent="0.25">
      <c r="A623" s="38">
        <v>10</v>
      </c>
      <c r="B623" s="34" t="s">
        <v>984</v>
      </c>
      <c r="C623" s="18">
        <v>10525000000</v>
      </c>
      <c r="D623" s="32" t="s">
        <v>1793</v>
      </c>
      <c r="E623" s="5">
        <f>'ПДФО ГРОМАДИ'!M623</f>
        <v>0</v>
      </c>
      <c r="F623" s="5">
        <f>'ПДФО ГРОМАДИ'!N623</f>
        <v>1799.8</v>
      </c>
    </row>
    <row r="624" spans="1:6" ht="15.75" x14ac:dyDescent="0.25">
      <c r="A624" s="38">
        <v>10</v>
      </c>
      <c r="B624" s="34" t="s">
        <v>984</v>
      </c>
      <c r="C624" s="18">
        <v>10526000000</v>
      </c>
      <c r="D624" s="32" t="s">
        <v>1794</v>
      </c>
      <c r="E624" s="5">
        <f>'ПДФО ГРОМАДИ'!M624</f>
        <v>15968.6</v>
      </c>
      <c r="F624" s="5">
        <f>'ПДФО ГРОМАДИ'!N624</f>
        <v>0</v>
      </c>
    </row>
    <row r="625" spans="1:6" ht="15.75" x14ac:dyDescent="0.25">
      <c r="A625" s="38">
        <v>10</v>
      </c>
      <c r="B625" s="34" t="s">
        <v>986</v>
      </c>
      <c r="C625" s="18">
        <v>10527000000</v>
      </c>
      <c r="D625" s="32" t="s">
        <v>1795</v>
      </c>
      <c r="E625" s="5">
        <f>'ПДФО ГРОМАДИ'!M625</f>
        <v>0</v>
      </c>
      <c r="F625" s="5">
        <f>'ПДФО ГРОМАДИ'!N625</f>
        <v>0</v>
      </c>
    </row>
    <row r="626" spans="1:6" ht="15.75" x14ac:dyDescent="0.25">
      <c r="A626" s="38">
        <v>10</v>
      </c>
      <c r="B626" s="34" t="s">
        <v>986</v>
      </c>
      <c r="C626" s="18">
        <v>10528000000</v>
      </c>
      <c r="D626" s="32" t="s">
        <v>1796</v>
      </c>
      <c r="E626" s="5">
        <f>'ПДФО ГРОМАДИ'!M626</f>
        <v>46612.1</v>
      </c>
      <c r="F626" s="5">
        <f>'ПДФО ГРОМАДИ'!N626</f>
        <v>0</v>
      </c>
    </row>
    <row r="627" spans="1:6" ht="15.75" x14ac:dyDescent="0.25">
      <c r="A627" s="38">
        <v>10</v>
      </c>
      <c r="B627" s="34" t="s">
        <v>984</v>
      </c>
      <c r="C627" s="18">
        <v>10529000000</v>
      </c>
      <c r="D627" s="32" t="s">
        <v>2840</v>
      </c>
      <c r="E627" s="5">
        <f>'ПДФО ГРОМАДИ'!M627</f>
        <v>129092.1</v>
      </c>
      <c r="F627" s="5">
        <f>'ПДФО ГРОМАДИ'!N627</f>
        <v>0</v>
      </c>
    </row>
    <row r="628" spans="1:6" ht="15.75" x14ac:dyDescent="0.25">
      <c r="A628" s="38">
        <v>10</v>
      </c>
      <c r="B628" s="34" t="s">
        <v>983</v>
      </c>
      <c r="C628" s="18">
        <v>10530000000</v>
      </c>
      <c r="D628" s="32" t="s">
        <v>1797</v>
      </c>
      <c r="E628" s="5">
        <f>'ПДФО ГРОМАДИ'!M628</f>
        <v>74273.2</v>
      </c>
      <c r="F628" s="5">
        <f>'ПДФО ГРОМАДИ'!N628</f>
        <v>0</v>
      </c>
    </row>
    <row r="629" spans="1:6" ht="15.75" x14ac:dyDescent="0.25">
      <c r="A629" s="38">
        <v>10</v>
      </c>
      <c r="B629" s="34" t="s">
        <v>986</v>
      </c>
      <c r="C629" s="18">
        <v>10531000000</v>
      </c>
      <c r="D629" s="32" t="s">
        <v>1798</v>
      </c>
      <c r="E629" s="5">
        <f>'ПДФО ГРОМАДИ'!M629</f>
        <v>81234.5</v>
      </c>
      <c r="F629" s="5">
        <f>'ПДФО ГРОМАДИ'!N629</f>
        <v>0</v>
      </c>
    </row>
    <row r="630" spans="1:6" ht="15.75" x14ac:dyDescent="0.25">
      <c r="A630" s="38">
        <v>10</v>
      </c>
      <c r="B630" s="34" t="s">
        <v>986</v>
      </c>
      <c r="C630" s="18">
        <v>10532000000</v>
      </c>
      <c r="D630" s="32" t="s">
        <v>1799</v>
      </c>
      <c r="E630" s="5">
        <f>'ПДФО ГРОМАДИ'!M630</f>
        <v>786.5</v>
      </c>
      <c r="F630" s="5">
        <f>'ПДФО ГРОМАДИ'!N630</f>
        <v>0</v>
      </c>
    </row>
    <row r="631" spans="1:6" ht="15.75" x14ac:dyDescent="0.25">
      <c r="A631" s="38">
        <v>10</v>
      </c>
      <c r="B631" s="34" t="s">
        <v>983</v>
      </c>
      <c r="C631" s="18">
        <v>10533000000</v>
      </c>
      <c r="D631" s="32" t="s">
        <v>1800</v>
      </c>
      <c r="E631" s="5">
        <f>'ПДФО ГРОМАДИ'!M631</f>
        <v>57280.1</v>
      </c>
      <c r="F631" s="5">
        <f>'ПДФО ГРОМАДИ'!N631</f>
        <v>0</v>
      </c>
    </row>
    <row r="632" spans="1:6" ht="15.75" x14ac:dyDescent="0.25">
      <c r="A632" s="38">
        <v>10</v>
      </c>
      <c r="B632" s="34" t="s">
        <v>983</v>
      </c>
      <c r="C632" s="18">
        <v>10534000000</v>
      </c>
      <c r="D632" s="32" t="s">
        <v>1801</v>
      </c>
      <c r="E632" s="5">
        <f>'ПДФО ГРОМАДИ'!M632</f>
        <v>89640.3</v>
      </c>
      <c r="F632" s="5">
        <f>'ПДФО ГРОМАДИ'!N632</f>
        <v>0</v>
      </c>
    </row>
    <row r="633" spans="1:6" ht="15.75" x14ac:dyDescent="0.25">
      <c r="A633" s="38">
        <v>10</v>
      </c>
      <c r="B633" s="34" t="s">
        <v>985</v>
      </c>
      <c r="C633" s="18">
        <v>10535000000</v>
      </c>
      <c r="D633" s="32" t="s">
        <v>1802</v>
      </c>
      <c r="E633" s="5">
        <f>'ПДФО ГРОМАДИ'!M633</f>
        <v>0</v>
      </c>
      <c r="F633" s="5">
        <f>'ПДФО ГРОМАДИ'!N633</f>
        <v>0</v>
      </c>
    </row>
    <row r="634" spans="1:6" ht="15.75" x14ac:dyDescent="0.25">
      <c r="A634" s="38">
        <v>10</v>
      </c>
      <c r="B634" s="34" t="s">
        <v>984</v>
      </c>
      <c r="C634" s="18">
        <v>10536000000</v>
      </c>
      <c r="D634" s="32" t="s">
        <v>1803</v>
      </c>
      <c r="E634" s="5">
        <f>'ПДФО ГРОМАДИ'!M634</f>
        <v>3208.7</v>
      </c>
      <c r="F634" s="5">
        <f>'ПДФО ГРОМАДИ'!N634</f>
        <v>0</v>
      </c>
    </row>
    <row r="635" spans="1:6" ht="15.75" x14ac:dyDescent="0.25">
      <c r="A635" s="38">
        <v>10</v>
      </c>
      <c r="B635" s="34" t="s">
        <v>984</v>
      </c>
      <c r="C635" s="18">
        <v>10537000000</v>
      </c>
      <c r="D635" s="32" t="s">
        <v>1804</v>
      </c>
      <c r="E635" s="5">
        <f>'ПДФО ГРОМАДИ'!M635</f>
        <v>0</v>
      </c>
      <c r="F635" s="5">
        <f>'ПДФО ГРОМАДИ'!N635</f>
        <v>7647.1</v>
      </c>
    </row>
    <row r="636" spans="1:6" ht="15.75" x14ac:dyDescent="0.25">
      <c r="A636" s="38">
        <v>10</v>
      </c>
      <c r="B636" s="34" t="s">
        <v>984</v>
      </c>
      <c r="C636" s="18">
        <v>10538000000</v>
      </c>
      <c r="D636" s="32" t="s">
        <v>1805</v>
      </c>
      <c r="E636" s="5">
        <f>'ПДФО ГРОМАДИ'!M636</f>
        <v>120097.8</v>
      </c>
      <c r="F636" s="5">
        <f>'ПДФО ГРОМАДИ'!N636</f>
        <v>0</v>
      </c>
    </row>
    <row r="637" spans="1:6" ht="15.75" x14ac:dyDescent="0.25">
      <c r="A637" s="38">
        <v>10</v>
      </c>
      <c r="B637" s="34" t="s">
        <v>985</v>
      </c>
      <c r="C637" s="18">
        <v>10539000000</v>
      </c>
      <c r="D637" s="32" t="s">
        <v>1806</v>
      </c>
      <c r="E637" s="5">
        <f>'ПДФО ГРОМАДИ'!M637</f>
        <v>42529.7</v>
      </c>
      <c r="F637" s="5">
        <f>'ПДФО ГРОМАДИ'!N637</f>
        <v>0</v>
      </c>
    </row>
    <row r="638" spans="1:6" ht="15.75" x14ac:dyDescent="0.25">
      <c r="A638" s="38">
        <v>10</v>
      </c>
      <c r="B638" s="34" t="s">
        <v>985</v>
      </c>
      <c r="C638" s="18">
        <v>10540000000</v>
      </c>
      <c r="D638" s="32" t="s">
        <v>1807</v>
      </c>
      <c r="E638" s="5">
        <f>'ПДФО ГРОМАДИ'!M638</f>
        <v>0</v>
      </c>
      <c r="F638" s="5">
        <f>'ПДФО ГРОМАДИ'!N638</f>
        <v>5777.4</v>
      </c>
    </row>
    <row r="639" spans="1:6" ht="15.75" x14ac:dyDescent="0.25">
      <c r="A639" s="38">
        <v>10</v>
      </c>
      <c r="B639" s="34" t="s">
        <v>985</v>
      </c>
      <c r="C639" s="18">
        <v>10541000000</v>
      </c>
      <c r="D639" s="32" t="s">
        <v>1808</v>
      </c>
      <c r="E639" s="5">
        <f>'ПДФО ГРОМАДИ'!M639</f>
        <v>0</v>
      </c>
      <c r="F639" s="5">
        <f>'ПДФО ГРОМАДИ'!N639</f>
        <v>19763.7</v>
      </c>
    </row>
    <row r="640" spans="1:6" ht="15.75" x14ac:dyDescent="0.25">
      <c r="A640" s="38">
        <v>10</v>
      </c>
      <c r="B640" s="34" t="s">
        <v>984</v>
      </c>
      <c r="C640" s="18">
        <v>10542000000</v>
      </c>
      <c r="D640" s="32" t="s">
        <v>1809</v>
      </c>
      <c r="E640" s="5">
        <f>'ПДФО ГРОМАДИ'!M640</f>
        <v>1775.9</v>
      </c>
      <c r="F640" s="5">
        <f>'ПДФО ГРОМАДИ'!N640</f>
        <v>0</v>
      </c>
    </row>
    <row r="641" spans="1:6" ht="15.75" x14ac:dyDescent="0.25">
      <c r="A641" s="38">
        <v>10</v>
      </c>
      <c r="B641" s="34" t="s">
        <v>985</v>
      </c>
      <c r="C641" s="18">
        <v>10543000000</v>
      </c>
      <c r="D641" s="32" t="s">
        <v>1810</v>
      </c>
      <c r="E641" s="5">
        <f>'ПДФО ГРОМАДИ'!M641</f>
        <v>8107.3</v>
      </c>
      <c r="F641" s="5">
        <f>'ПДФО ГРОМАДИ'!N641</f>
        <v>0</v>
      </c>
    </row>
    <row r="642" spans="1:6" ht="15.75" x14ac:dyDescent="0.25">
      <c r="A642" s="38">
        <v>10</v>
      </c>
      <c r="B642" s="34" t="s">
        <v>984</v>
      </c>
      <c r="C642" s="18">
        <v>10544000000</v>
      </c>
      <c r="D642" s="32" t="s">
        <v>1811</v>
      </c>
      <c r="E642" s="5">
        <f>'ПДФО ГРОМАДИ'!M642</f>
        <v>0</v>
      </c>
      <c r="F642" s="5">
        <f>'ПДФО ГРОМАДИ'!N642</f>
        <v>0</v>
      </c>
    </row>
    <row r="643" spans="1:6" ht="15.75" x14ac:dyDescent="0.25">
      <c r="A643" s="38">
        <v>10</v>
      </c>
      <c r="B643" s="34" t="s">
        <v>985</v>
      </c>
      <c r="C643" s="18">
        <v>10545000000</v>
      </c>
      <c r="D643" s="32" t="s">
        <v>1812</v>
      </c>
      <c r="E643" s="5">
        <f>'ПДФО ГРОМАДИ'!M643</f>
        <v>14328.6</v>
      </c>
      <c r="F643" s="5">
        <f>'ПДФО ГРОМАДИ'!N643</f>
        <v>0</v>
      </c>
    </row>
    <row r="644" spans="1:6" ht="15.75" x14ac:dyDescent="0.25">
      <c r="A644" s="38">
        <v>10</v>
      </c>
      <c r="B644" s="34" t="s">
        <v>986</v>
      </c>
      <c r="C644" s="18">
        <v>10546000000</v>
      </c>
      <c r="D644" s="32" t="s">
        <v>1813</v>
      </c>
      <c r="E644" s="5">
        <f>'ПДФО ГРОМАДИ'!M644</f>
        <v>0</v>
      </c>
      <c r="F644" s="5">
        <f>'ПДФО ГРОМАДИ'!N644</f>
        <v>0</v>
      </c>
    </row>
    <row r="645" spans="1:6" ht="15.75" x14ac:dyDescent="0.25">
      <c r="A645" s="38">
        <v>10</v>
      </c>
      <c r="B645" s="34" t="s">
        <v>983</v>
      </c>
      <c r="C645" s="18">
        <v>10547000000</v>
      </c>
      <c r="D645" s="32" t="s">
        <v>1814</v>
      </c>
      <c r="E645" s="5">
        <f>'ПДФО ГРОМАДИ'!M645</f>
        <v>0</v>
      </c>
      <c r="F645" s="5">
        <f>'ПДФО ГРОМАДИ'!N645</f>
        <v>0</v>
      </c>
    </row>
    <row r="646" spans="1:6" ht="15.75" x14ac:dyDescent="0.25">
      <c r="A646" s="38">
        <v>10</v>
      </c>
      <c r="B646" s="34" t="s">
        <v>985</v>
      </c>
      <c r="C646" s="18">
        <v>10548000000</v>
      </c>
      <c r="D646" s="32" t="s">
        <v>2498</v>
      </c>
      <c r="E646" s="5">
        <f>'ПДФО ГРОМАДИ'!M646</f>
        <v>26561.4</v>
      </c>
      <c r="F646" s="5">
        <f>'ПДФО ГРОМАДИ'!N646</f>
        <v>0</v>
      </c>
    </row>
    <row r="647" spans="1:6" ht="15.75" x14ac:dyDescent="0.25">
      <c r="A647" s="38">
        <v>10</v>
      </c>
      <c r="B647" s="34" t="s">
        <v>985</v>
      </c>
      <c r="C647" s="18">
        <v>10549000000</v>
      </c>
      <c r="D647" s="32" t="s">
        <v>1815</v>
      </c>
      <c r="E647" s="5">
        <f>'ПДФО ГРОМАДИ'!M647</f>
        <v>0</v>
      </c>
      <c r="F647" s="5">
        <f>'ПДФО ГРОМАДИ'!N647</f>
        <v>7716.2</v>
      </c>
    </row>
    <row r="648" spans="1:6" ht="15.75" x14ac:dyDescent="0.25">
      <c r="A648" s="38">
        <v>10</v>
      </c>
      <c r="B648" s="34" t="s">
        <v>985</v>
      </c>
      <c r="C648" s="18">
        <v>10550000000</v>
      </c>
      <c r="D648" s="32" t="s">
        <v>1816</v>
      </c>
      <c r="E648" s="5">
        <f>'ПДФО ГРОМАДИ'!M648</f>
        <v>3797.9</v>
      </c>
      <c r="F648" s="5">
        <f>'ПДФО ГРОМАДИ'!N648</f>
        <v>0</v>
      </c>
    </row>
    <row r="649" spans="1:6" ht="15.75" x14ac:dyDescent="0.25">
      <c r="A649" s="38">
        <v>10</v>
      </c>
      <c r="B649" s="34" t="s">
        <v>985</v>
      </c>
      <c r="C649" s="18">
        <v>10551000000</v>
      </c>
      <c r="D649" s="32" t="s">
        <v>1817</v>
      </c>
      <c r="E649" s="5">
        <f>'ПДФО ГРОМАДИ'!M649</f>
        <v>0</v>
      </c>
      <c r="F649" s="5">
        <f>'ПДФО ГРОМАДИ'!N649</f>
        <v>29184.9</v>
      </c>
    </row>
    <row r="650" spans="1:6" ht="15.75" x14ac:dyDescent="0.25">
      <c r="A650" s="38">
        <v>10</v>
      </c>
      <c r="B650" s="34" t="s">
        <v>985</v>
      </c>
      <c r="C650" s="18">
        <v>10552000000</v>
      </c>
      <c r="D650" s="32" t="s">
        <v>1818</v>
      </c>
      <c r="E650" s="5">
        <f>'ПДФО ГРОМАДИ'!M650</f>
        <v>36292.1</v>
      </c>
      <c r="F650" s="5">
        <f>'ПДФО ГРОМАДИ'!N650</f>
        <v>0</v>
      </c>
    </row>
    <row r="651" spans="1:6" ht="15.75" x14ac:dyDescent="0.25">
      <c r="A651" s="38">
        <v>10</v>
      </c>
      <c r="B651" s="34" t="s">
        <v>984</v>
      </c>
      <c r="C651" s="18">
        <v>10553000000</v>
      </c>
      <c r="D651" s="32" t="s">
        <v>1819</v>
      </c>
      <c r="E651" s="5">
        <f>'ПДФО ГРОМАДИ'!M651</f>
        <v>0</v>
      </c>
      <c r="F651" s="5">
        <f>'ПДФО ГРОМАДИ'!N651</f>
        <v>8388.6</v>
      </c>
    </row>
    <row r="652" spans="1:6" ht="15.75" x14ac:dyDescent="0.25">
      <c r="A652" s="38">
        <v>10</v>
      </c>
      <c r="B652" s="34" t="s">
        <v>985</v>
      </c>
      <c r="C652" s="18">
        <v>10554000000</v>
      </c>
      <c r="D652" s="32" t="s">
        <v>1820</v>
      </c>
      <c r="E652" s="5">
        <f>'ПДФО ГРОМАДИ'!M652</f>
        <v>0</v>
      </c>
      <c r="F652" s="5">
        <f>'ПДФО ГРОМАДИ'!N652</f>
        <v>17010.8</v>
      </c>
    </row>
    <row r="653" spans="1:6" ht="15.75" x14ac:dyDescent="0.25">
      <c r="A653" s="38">
        <v>10</v>
      </c>
      <c r="B653" s="34" t="s">
        <v>986</v>
      </c>
      <c r="C653" s="18">
        <v>10555000000</v>
      </c>
      <c r="D653" s="32" t="s">
        <v>1821</v>
      </c>
      <c r="E653" s="5">
        <f>'ПДФО ГРОМАДИ'!M653</f>
        <v>4911.5</v>
      </c>
      <c r="F653" s="5">
        <f>'ПДФО ГРОМАДИ'!N653</f>
        <v>0</v>
      </c>
    </row>
    <row r="654" spans="1:6" ht="15.75" x14ac:dyDescent="0.25">
      <c r="A654" s="38">
        <v>10</v>
      </c>
      <c r="B654" s="34" t="s">
        <v>984</v>
      </c>
      <c r="C654" s="18">
        <v>10556000000</v>
      </c>
      <c r="D654" s="32" t="s">
        <v>1822</v>
      </c>
      <c r="E654" s="5">
        <f>'ПДФО ГРОМАДИ'!M654</f>
        <v>13362.5</v>
      </c>
      <c r="F654" s="5">
        <f>'ПДФО ГРОМАДИ'!N654</f>
        <v>0</v>
      </c>
    </row>
    <row r="655" spans="1:6" ht="15.75" x14ac:dyDescent="0.25">
      <c r="A655" s="38">
        <v>10</v>
      </c>
      <c r="B655" s="34" t="s">
        <v>984</v>
      </c>
      <c r="C655" s="18">
        <v>10557000000</v>
      </c>
      <c r="D655" s="32" t="s">
        <v>1823</v>
      </c>
      <c r="E655" s="5">
        <f>'ПДФО ГРОМАДИ'!M655</f>
        <v>0</v>
      </c>
      <c r="F655" s="5">
        <f>'ПДФО ГРОМАДИ'!N655</f>
        <v>5555.9</v>
      </c>
    </row>
    <row r="656" spans="1:6" ht="15.75" x14ac:dyDescent="0.25">
      <c r="A656" s="38">
        <v>10</v>
      </c>
      <c r="B656" s="34" t="s">
        <v>985</v>
      </c>
      <c r="C656" s="18">
        <v>10558000000</v>
      </c>
      <c r="D656" s="32" t="s">
        <v>2839</v>
      </c>
      <c r="E656" s="5">
        <f>'ПДФО ГРОМАДИ'!M656</f>
        <v>0</v>
      </c>
      <c r="F656" s="5">
        <f>'ПДФО ГРОМАДИ'!N656</f>
        <v>4352.3999999999996</v>
      </c>
    </row>
    <row r="657" spans="1:6" ht="15.75" x14ac:dyDescent="0.25">
      <c r="A657" s="38">
        <v>10</v>
      </c>
      <c r="B657" s="34" t="s">
        <v>984</v>
      </c>
      <c r="C657" s="18">
        <v>10559000000</v>
      </c>
      <c r="D657" s="32" t="s">
        <v>1824</v>
      </c>
      <c r="E657" s="5">
        <f>'ПДФО ГРОМАДИ'!M657</f>
        <v>60255</v>
      </c>
      <c r="F657" s="5">
        <f>'ПДФО ГРОМАДИ'!N657</f>
        <v>0</v>
      </c>
    </row>
    <row r="658" spans="1:6" ht="15.75" x14ac:dyDescent="0.25">
      <c r="A658" s="38">
        <v>10</v>
      </c>
      <c r="B658" s="34" t="s">
        <v>985</v>
      </c>
      <c r="C658" s="18">
        <v>10560000000</v>
      </c>
      <c r="D658" s="32" t="s">
        <v>1825</v>
      </c>
      <c r="E658" s="5">
        <f>'ПДФО ГРОМАДИ'!M658</f>
        <v>0</v>
      </c>
      <c r="F658" s="5">
        <f>'ПДФО ГРОМАДИ'!N658</f>
        <v>0</v>
      </c>
    </row>
    <row r="659" spans="1:6" ht="15.75" x14ac:dyDescent="0.25">
      <c r="A659" s="38">
        <v>10</v>
      </c>
      <c r="B659" s="34" t="s">
        <v>983</v>
      </c>
      <c r="C659" s="18">
        <v>10561000000</v>
      </c>
      <c r="D659" s="32" t="s">
        <v>1826</v>
      </c>
      <c r="E659" s="5">
        <f>'ПДФО ГРОМАДИ'!M659</f>
        <v>0</v>
      </c>
      <c r="F659" s="5">
        <f>'ПДФО ГРОМАДИ'!N659</f>
        <v>0</v>
      </c>
    </row>
    <row r="660" spans="1:6" ht="15.75" x14ac:dyDescent="0.25">
      <c r="A660" s="38">
        <v>10</v>
      </c>
      <c r="B660" s="34" t="s">
        <v>986</v>
      </c>
      <c r="C660" s="18">
        <v>10562000000</v>
      </c>
      <c r="D660" s="32" t="s">
        <v>1827</v>
      </c>
      <c r="E660" s="5">
        <f>'ПДФО ГРОМАДИ'!M660</f>
        <v>51612.6</v>
      </c>
      <c r="F660" s="5">
        <f>'ПДФО ГРОМАДИ'!N660</f>
        <v>0</v>
      </c>
    </row>
    <row r="661" spans="1:6" ht="15.75" x14ac:dyDescent="0.25">
      <c r="A661" s="38">
        <v>10</v>
      </c>
      <c r="B661" s="34" t="s">
        <v>985</v>
      </c>
      <c r="C661" s="18">
        <v>10563000000</v>
      </c>
      <c r="D661" s="32" t="s">
        <v>1828</v>
      </c>
      <c r="E661" s="5">
        <f>'ПДФО ГРОМАДИ'!M661</f>
        <v>0</v>
      </c>
      <c r="F661" s="5">
        <f>'ПДФО ГРОМАДИ'!N661</f>
        <v>0</v>
      </c>
    </row>
    <row r="662" spans="1:6" ht="15.75" x14ac:dyDescent="0.25">
      <c r="A662" s="38">
        <v>10</v>
      </c>
      <c r="B662" s="34" t="s">
        <v>983</v>
      </c>
      <c r="C662" s="18">
        <v>10564000000</v>
      </c>
      <c r="D662" s="32" t="s">
        <v>1829</v>
      </c>
      <c r="E662" s="5">
        <f>'ПДФО ГРОМАДИ'!M662</f>
        <v>0</v>
      </c>
      <c r="F662" s="5">
        <f>'ПДФО ГРОМАДИ'!N662</f>
        <v>4051.2</v>
      </c>
    </row>
    <row r="663" spans="1:6" ht="15.75" x14ac:dyDescent="0.25">
      <c r="A663" s="38">
        <v>10</v>
      </c>
      <c r="B663" s="34" t="s">
        <v>983</v>
      </c>
      <c r="C663" s="18">
        <v>10565000000</v>
      </c>
      <c r="D663" s="32" t="s">
        <v>1830</v>
      </c>
      <c r="E663" s="5">
        <f>'ПДФО ГРОМАДИ'!M663</f>
        <v>16850.599999999999</v>
      </c>
      <c r="F663" s="5">
        <f>'ПДФО ГРОМАДИ'!N663</f>
        <v>0</v>
      </c>
    </row>
    <row r="664" spans="1:6" ht="15.75" x14ac:dyDescent="0.25">
      <c r="A664" s="38">
        <v>10</v>
      </c>
      <c r="B664" s="34" t="s">
        <v>986</v>
      </c>
      <c r="C664" s="18">
        <v>10566000000</v>
      </c>
      <c r="D664" s="32" t="s">
        <v>1831</v>
      </c>
      <c r="E664" s="5">
        <f>'ПДФО ГРОМАДИ'!M664</f>
        <v>0</v>
      </c>
      <c r="F664" s="5">
        <f>'ПДФО ГРОМАДИ'!N664</f>
        <v>0</v>
      </c>
    </row>
    <row r="665" spans="1:6" ht="15.75" x14ac:dyDescent="0.25">
      <c r="A665" s="38">
        <v>10</v>
      </c>
      <c r="B665" s="34" t="s">
        <v>984</v>
      </c>
      <c r="C665" s="18">
        <v>10567000000</v>
      </c>
      <c r="D665" s="32" t="s">
        <v>1832</v>
      </c>
      <c r="E665" s="5">
        <f>'ПДФО ГРОМАДИ'!M665</f>
        <v>1654.2</v>
      </c>
      <c r="F665" s="5">
        <f>'ПДФО ГРОМАДИ'!N665</f>
        <v>0</v>
      </c>
    </row>
    <row r="666" spans="1:6" ht="15.75" x14ac:dyDescent="0.25">
      <c r="A666" s="38">
        <v>10</v>
      </c>
      <c r="B666" s="34" t="s">
        <v>985</v>
      </c>
      <c r="C666" s="18">
        <v>10568000000</v>
      </c>
      <c r="D666" s="32" t="s">
        <v>1833</v>
      </c>
      <c r="E666" s="5">
        <f>'ПДФО ГРОМАДИ'!M666</f>
        <v>12704.5</v>
      </c>
      <c r="F666" s="5">
        <f>'ПДФО ГРОМАДИ'!N666</f>
        <v>0</v>
      </c>
    </row>
    <row r="667" spans="1:6" ht="15.75" x14ac:dyDescent="0.25">
      <c r="A667" s="38">
        <v>10</v>
      </c>
      <c r="B667" s="34" t="s">
        <v>983</v>
      </c>
      <c r="C667" s="18">
        <v>10569000000</v>
      </c>
      <c r="D667" s="32" t="s">
        <v>1834</v>
      </c>
      <c r="E667" s="5">
        <f>'ПДФО ГРОМАДИ'!M667</f>
        <v>3890.2</v>
      </c>
      <c r="F667" s="5">
        <f>'ПДФО ГРОМАДИ'!N667</f>
        <v>0</v>
      </c>
    </row>
    <row r="668" spans="1:6" ht="15.75" x14ac:dyDescent="0.25">
      <c r="A668" s="36">
        <v>11</v>
      </c>
      <c r="B668" s="17" t="s">
        <v>7</v>
      </c>
      <c r="C668" s="17" t="s">
        <v>784</v>
      </c>
      <c r="D668" s="11" t="s">
        <v>15</v>
      </c>
      <c r="E668" s="11">
        <f>E669+E670+E675</f>
        <v>160543</v>
      </c>
      <c r="F668" s="11">
        <f>F669+F670+F675</f>
        <v>255762.50000000003</v>
      </c>
    </row>
    <row r="669" spans="1:6" ht="15.75" x14ac:dyDescent="0.25">
      <c r="A669" s="38">
        <v>11</v>
      </c>
      <c r="B669" s="34" t="s">
        <v>6</v>
      </c>
      <c r="C669" s="18" t="s">
        <v>110</v>
      </c>
      <c r="D669" s="32" t="s">
        <v>848</v>
      </c>
      <c r="E669" s="5">
        <f>'ПДФО ОБЛАСНІ'!K13+'ПОДАТОК НА ПРИБУТОК'!K13</f>
        <v>0</v>
      </c>
      <c r="F669" s="5">
        <f>'ПДФО ОБЛАСНІ'!L13+'ПОДАТОК НА ПРИБУТОК'!L13</f>
        <v>40452.6</v>
      </c>
    </row>
    <row r="670" spans="1:6" ht="15.75" x14ac:dyDescent="0.25">
      <c r="A670" s="37">
        <v>11</v>
      </c>
      <c r="B670" s="19" t="s">
        <v>5</v>
      </c>
      <c r="C670" s="19" t="s">
        <v>785</v>
      </c>
      <c r="D670" s="7" t="s">
        <v>2803</v>
      </c>
      <c r="E670" s="7">
        <f>SUM(E671:E674)</f>
        <v>0</v>
      </c>
      <c r="F670" s="7">
        <f>SUM(F671:F674)</f>
        <v>0</v>
      </c>
    </row>
    <row r="671" spans="1:6" ht="15.75" x14ac:dyDescent="0.25">
      <c r="A671" s="38">
        <v>11</v>
      </c>
      <c r="B671" s="34" t="s">
        <v>4</v>
      </c>
      <c r="C671" s="18" t="s">
        <v>111</v>
      </c>
      <c r="D671" s="32" t="s">
        <v>919</v>
      </c>
      <c r="E671" s="5">
        <f>'ПДФО ГРОМАДИ'!M671</f>
        <v>0</v>
      </c>
      <c r="F671" s="5">
        <f>'ПДФО ГРОМАДИ'!N671</f>
        <v>0</v>
      </c>
    </row>
    <row r="672" spans="1:6" ht="15.75" x14ac:dyDescent="0.25">
      <c r="A672" s="38">
        <v>11</v>
      </c>
      <c r="B672" s="34" t="s">
        <v>4</v>
      </c>
      <c r="C672" s="18" t="s">
        <v>112</v>
      </c>
      <c r="D672" s="32" t="s">
        <v>1060</v>
      </c>
      <c r="E672" s="5">
        <f>'ПДФО ГРОМАДИ'!M672</f>
        <v>0</v>
      </c>
      <c r="F672" s="5">
        <f>'ПДФО ГРОМАДИ'!N672</f>
        <v>0</v>
      </c>
    </row>
    <row r="673" spans="1:6" ht="15.75" x14ac:dyDescent="0.25">
      <c r="A673" s="38">
        <v>11</v>
      </c>
      <c r="B673" s="34" t="s">
        <v>4</v>
      </c>
      <c r="C673" s="18" t="s">
        <v>113</v>
      </c>
      <c r="D673" s="32" t="s">
        <v>920</v>
      </c>
      <c r="E673" s="5">
        <f>'ПДФО ГРОМАДИ'!M673</f>
        <v>0</v>
      </c>
      <c r="F673" s="5">
        <f>'ПДФО ГРОМАДИ'!N673</f>
        <v>0</v>
      </c>
    </row>
    <row r="674" spans="1:6" ht="15.75" x14ac:dyDescent="0.25">
      <c r="A674" s="38">
        <v>11</v>
      </c>
      <c r="B674" s="34" t="s">
        <v>4</v>
      </c>
      <c r="C674" s="18" t="s">
        <v>114</v>
      </c>
      <c r="D674" s="32" t="s">
        <v>921</v>
      </c>
      <c r="E674" s="5">
        <f>'ПДФО ГРОМАДИ'!M674</f>
        <v>0</v>
      </c>
      <c r="F674" s="5">
        <f>'ПДФО ГРОМАДИ'!N674</f>
        <v>0</v>
      </c>
    </row>
    <row r="675" spans="1:6" ht="15.75" x14ac:dyDescent="0.25">
      <c r="A675" s="37">
        <v>11</v>
      </c>
      <c r="B675" s="19" t="s">
        <v>28</v>
      </c>
      <c r="C675" s="19" t="s">
        <v>786</v>
      </c>
      <c r="D675" s="20" t="s">
        <v>2777</v>
      </c>
      <c r="E675" s="7">
        <f>SUM(E676:E724)</f>
        <v>160543</v>
      </c>
      <c r="F675" s="7">
        <f>SUM(F676:F724)</f>
        <v>215309.90000000002</v>
      </c>
    </row>
    <row r="676" spans="1:6" ht="15.75" x14ac:dyDescent="0.25">
      <c r="A676" s="38">
        <v>11</v>
      </c>
      <c r="B676" s="34" t="s">
        <v>983</v>
      </c>
      <c r="C676" s="18" t="s">
        <v>115</v>
      </c>
      <c r="D676" s="32" t="s">
        <v>1835</v>
      </c>
      <c r="E676" s="5">
        <f>'ПДФО ГРОМАДИ'!M676</f>
        <v>0</v>
      </c>
      <c r="F676" s="5">
        <f>'ПДФО ГРОМАДИ'!N676</f>
        <v>6529.4</v>
      </c>
    </row>
    <row r="677" spans="1:6" ht="15.75" x14ac:dyDescent="0.25">
      <c r="A677" s="38">
        <v>11</v>
      </c>
      <c r="B677" s="34" t="s">
        <v>983</v>
      </c>
      <c r="C677" s="18" t="s">
        <v>233</v>
      </c>
      <c r="D677" s="32" t="s">
        <v>1836</v>
      </c>
      <c r="E677" s="5">
        <f>'ПДФО ГРОМАДИ'!M677</f>
        <v>0</v>
      </c>
      <c r="F677" s="5">
        <f>'ПДФО ГРОМАДИ'!N677</f>
        <v>0</v>
      </c>
    </row>
    <row r="678" spans="1:6" ht="15.75" x14ac:dyDescent="0.25">
      <c r="A678" s="38">
        <v>11</v>
      </c>
      <c r="B678" s="34" t="s">
        <v>983</v>
      </c>
      <c r="C678" s="18" t="s">
        <v>285</v>
      </c>
      <c r="D678" s="32" t="s">
        <v>1837</v>
      </c>
      <c r="E678" s="5">
        <f>'ПДФО ГРОМАДИ'!M678</f>
        <v>0</v>
      </c>
      <c r="F678" s="5">
        <f>'ПДФО ГРОМАДИ'!N678</f>
        <v>745.4</v>
      </c>
    </row>
    <row r="679" spans="1:6" ht="15.75" x14ac:dyDescent="0.25">
      <c r="A679" s="38">
        <v>11</v>
      </c>
      <c r="B679" s="34" t="s">
        <v>984</v>
      </c>
      <c r="C679" s="18" t="s">
        <v>376</v>
      </c>
      <c r="D679" s="32" t="s">
        <v>1838</v>
      </c>
      <c r="E679" s="5">
        <f>'ПДФО ГРОМАДИ'!M679</f>
        <v>0</v>
      </c>
      <c r="F679" s="5">
        <f>'ПДФО ГРОМАДИ'!N679</f>
        <v>4607.5</v>
      </c>
    </row>
    <row r="680" spans="1:6" ht="15.75" x14ac:dyDescent="0.25">
      <c r="A680" s="38">
        <v>11</v>
      </c>
      <c r="B680" s="34" t="s">
        <v>984</v>
      </c>
      <c r="C680" s="18" t="s">
        <v>377</v>
      </c>
      <c r="D680" s="32" t="s">
        <v>1839</v>
      </c>
      <c r="E680" s="5">
        <f>'ПДФО ГРОМАДИ'!M680</f>
        <v>2439.3000000000002</v>
      </c>
      <c r="F680" s="5">
        <f>'ПДФО ГРОМАДИ'!N680</f>
        <v>0</v>
      </c>
    </row>
    <row r="681" spans="1:6" ht="15.75" x14ac:dyDescent="0.25">
      <c r="A681" s="38">
        <v>11</v>
      </c>
      <c r="B681" s="34" t="s">
        <v>984</v>
      </c>
      <c r="C681" s="18" t="s">
        <v>485</v>
      </c>
      <c r="D681" s="32" t="s">
        <v>1840</v>
      </c>
      <c r="E681" s="5">
        <f>'ПДФО ГРОМАДИ'!M681</f>
        <v>366.6</v>
      </c>
      <c r="F681" s="5">
        <f>'ПДФО ГРОМАДИ'!N681</f>
        <v>0</v>
      </c>
    </row>
    <row r="682" spans="1:6" ht="15.75" x14ac:dyDescent="0.25">
      <c r="A682" s="38">
        <v>11</v>
      </c>
      <c r="B682" s="34" t="s">
        <v>984</v>
      </c>
      <c r="C682" s="18" t="s">
        <v>486</v>
      </c>
      <c r="D682" s="32" t="s">
        <v>1841</v>
      </c>
      <c r="E682" s="5">
        <f>'ПДФО ГРОМАДИ'!M682</f>
        <v>0</v>
      </c>
      <c r="F682" s="5">
        <f>'ПДФО ГРОМАДИ'!N682</f>
        <v>0</v>
      </c>
    </row>
    <row r="683" spans="1:6" ht="15.75" x14ac:dyDescent="0.25">
      <c r="A683" s="38">
        <v>11</v>
      </c>
      <c r="B683" s="34" t="s">
        <v>984</v>
      </c>
      <c r="C683" s="18" t="s">
        <v>572</v>
      </c>
      <c r="D683" s="32" t="s">
        <v>1842</v>
      </c>
      <c r="E683" s="5">
        <f>'ПДФО ГРОМАДИ'!M683</f>
        <v>0</v>
      </c>
      <c r="F683" s="5">
        <f>'ПДФО ГРОМАДИ'!N683</f>
        <v>0</v>
      </c>
    </row>
    <row r="684" spans="1:6" ht="15.75" x14ac:dyDescent="0.25">
      <c r="A684" s="38">
        <v>11</v>
      </c>
      <c r="B684" s="34" t="s">
        <v>984</v>
      </c>
      <c r="C684" s="18" t="s">
        <v>573</v>
      </c>
      <c r="D684" s="32" t="s">
        <v>1843</v>
      </c>
      <c r="E684" s="5">
        <f>'ПДФО ГРОМАДИ'!M684</f>
        <v>0</v>
      </c>
      <c r="F684" s="5">
        <f>'ПДФО ГРОМАДИ'!N684</f>
        <v>0</v>
      </c>
    </row>
    <row r="685" spans="1:6" ht="15.75" x14ac:dyDescent="0.25">
      <c r="A685" s="38">
        <v>11</v>
      </c>
      <c r="B685" s="34" t="s">
        <v>984</v>
      </c>
      <c r="C685" s="18" t="s">
        <v>574</v>
      </c>
      <c r="D685" s="32" t="s">
        <v>1844</v>
      </c>
      <c r="E685" s="5">
        <f>'ПДФО ГРОМАДИ'!M685</f>
        <v>7011.5</v>
      </c>
      <c r="F685" s="5">
        <f>'ПДФО ГРОМАДИ'!N685</f>
        <v>0</v>
      </c>
    </row>
    <row r="686" spans="1:6" ht="15.75" x14ac:dyDescent="0.25">
      <c r="A686" s="38">
        <v>11</v>
      </c>
      <c r="B686" s="34" t="s">
        <v>985</v>
      </c>
      <c r="C686" s="18" t="s">
        <v>575</v>
      </c>
      <c r="D686" s="32" t="s">
        <v>1845</v>
      </c>
      <c r="E686" s="5">
        <f>'ПДФО ГРОМАДИ'!M686</f>
        <v>0</v>
      </c>
      <c r="F686" s="5">
        <f>'ПДФО ГРОМАДИ'!N686</f>
        <v>0</v>
      </c>
    </row>
    <row r="687" spans="1:6" ht="15.75" x14ac:dyDescent="0.25">
      <c r="A687" s="38">
        <v>11</v>
      </c>
      <c r="B687" s="34" t="s">
        <v>985</v>
      </c>
      <c r="C687" s="18" t="s">
        <v>576</v>
      </c>
      <c r="D687" s="32" t="s">
        <v>1846</v>
      </c>
      <c r="E687" s="5">
        <f>'ПДФО ГРОМАДИ'!M687</f>
        <v>0</v>
      </c>
      <c r="F687" s="5">
        <f>'ПДФО ГРОМАДИ'!N687</f>
        <v>0</v>
      </c>
    </row>
    <row r="688" spans="1:6" ht="15.75" x14ac:dyDescent="0.25">
      <c r="A688" s="38">
        <v>11</v>
      </c>
      <c r="B688" s="34" t="s">
        <v>983</v>
      </c>
      <c r="C688" s="18" t="s">
        <v>577</v>
      </c>
      <c r="D688" s="32" t="s">
        <v>1847</v>
      </c>
      <c r="E688" s="5">
        <f>'ПДФО ГРОМАДИ'!M688</f>
        <v>8033</v>
      </c>
      <c r="F688" s="5">
        <f>'ПДФО ГРОМАДИ'!N688</f>
        <v>0</v>
      </c>
    </row>
    <row r="689" spans="1:6" ht="15.75" x14ac:dyDescent="0.25">
      <c r="A689" s="38">
        <v>11</v>
      </c>
      <c r="B689" s="34" t="s">
        <v>984</v>
      </c>
      <c r="C689" s="30" t="s">
        <v>739</v>
      </c>
      <c r="D689" s="32" t="s">
        <v>1848</v>
      </c>
      <c r="E689" s="5">
        <f>'ПДФО ГРОМАДИ'!M689</f>
        <v>0</v>
      </c>
      <c r="F689" s="5">
        <f>'ПДФО ГРОМАДИ'!N689</f>
        <v>1706</v>
      </c>
    </row>
    <row r="690" spans="1:6" ht="15.75" x14ac:dyDescent="0.25">
      <c r="A690" s="38">
        <v>11</v>
      </c>
      <c r="B690" s="34" t="s">
        <v>985</v>
      </c>
      <c r="C690" s="30" t="s">
        <v>740</v>
      </c>
      <c r="D690" s="32" t="s">
        <v>1849</v>
      </c>
      <c r="E690" s="5">
        <f>'ПДФО ГРОМАДИ'!M690</f>
        <v>0</v>
      </c>
      <c r="F690" s="5">
        <f>'ПДФО ГРОМАДИ'!N690</f>
        <v>4492.8</v>
      </c>
    </row>
    <row r="691" spans="1:6" ht="15.75" x14ac:dyDescent="0.25">
      <c r="A691" s="38">
        <v>11</v>
      </c>
      <c r="B691" s="34" t="s">
        <v>985</v>
      </c>
      <c r="C691" s="30" t="s">
        <v>836</v>
      </c>
      <c r="D691" s="32" t="s">
        <v>1850</v>
      </c>
      <c r="E691" s="5">
        <f>'ПДФО ГРОМАДИ'!M691</f>
        <v>0</v>
      </c>
      <c r="F691" s="5">
        <f>'ПДФО ГРОМАДИ'!N691</f>
        <v>139.30000000000001</v>
      </c>
    </row>
    <row r="692" spans="1:6" ht="15.75" x14ac:dyDescent="0.25">
      <c r="A692" s="38">
        <v>11</v>
      </c>
      <c r="B692" s="34" t="s">
        <v>985</v>
      </c>
      <c r="C692" s="30" t="s">
        <v>877</v>
      </c>
      <c r="D692" s="32" t="s">
        <v>1851</v>
      </c>
      <c r="E692" s="5">
        <f>'ПДФО ГРОМАДИ'!M692</f>
        <v>0</v>
      </c>
      <c r="F692" s="5">
        <f>'ПДФО ГРОМАДИ'!N692</f>
        <v>0</v>
      </c>
    </row>
    <row r="693" spans="1:6" ht="15.75" x14ac:dyDescent="0.25">
      <c r="A693" s="38">
        <v>11</v>
      </c>
      <c r="B693" s="34" t="s">
        <v>984</v>
      </c>
      <c r="C693" s="30" t="s">
        <v>878</v>
      </c>
      <c r="D693" s="32" t="s">
        <v>1852</v>
      </c>
      <c r="E693" s="5">
        <f>'ПДФО ГРОМАДИ'!M693</f>
        <v>2721.4</v>
      </c>
      <c r="F693" s="5">
        <f>'ПДФО ГРОМАДИ'!N693</f>
        <v>0</v>
      </c>
    </row>
    <row r="694" spans="1:6" ht="15.75" x14ac:dyDescent="0.25">
      <c r="A694" s="38">
        <v>11</v>
      </c>
      <c r="B694" s="34" t="s">
        <v>984</v>
      </c>
      <c r="C694" s="30" t="s">
        <v>879</v>
      </c>
      <c r="D694" s="32" t="s">
        <v>1853</v>
      </c>
      <c r="E694" s="5">
        <f>'ПДФО ГРОМАДИ'!M694</f>
        <v>0</v>
      </c>
      <c r="F694" s="5">
        <f>'ПДФО ГРОМАДИ'!N694</f>
        <v>0</v>
      </c>
    </row>
    <row r="695" spans="1:6" ht="15.75" x14ac:dyDescent="0.25">
      <c r="A695" s="38">
        <v>11</v>
      </c>
      <c r="B695" s="34" t="s">
        <v>984</v>
      </c>
      <c r="C695" s="30" t="s">
        <v>880</v>
      </c>
      <c r="D695" s="32" t="s">
        <v>2753</v>
      </c>
      <c r="E695" s="5">
        <f>'ПДФО ГРОМАДИ'!M695</f>
        <v>523.4</v>
      </c>
      <c r="F695" s="5">
        <f>'ПДФО ГРОМАДИ'!N695</f>
        <v>0</v>
      </c>
    </row>
    <row r="696" spans="1:6" ht="15.75" x14ac:dyDescent="0.25">
      <c r="A696" s="38">
        <v>11</v>
      </c>
      <c r="B696" s="34" t="s">
        <v>985</v>
      </c>
      <c r="C696" s="30" t="s">
        <v>1025</v>
      </c>
      <c r="D696" s="32" t="s">
        <v>1854</v>
      </c>
      <c r="E696" s="5">
        <f>'ПДФО ГРОМАДИ'!M696</f>
        <v>6929.6</v>
      </c>
      <c r="F696" s="5">
        <f>'ПДФО ГРОМАДИ'!N696</f>
        <v>0</v>
      </c>
    </row>
    <row r="697" spans="1:6" ht="15.75" x14ac:dyDescent="0.25">
      <c r="A697" s="38">
        <v>11</v>
      </c>
      <c r="B697" s="34" t="s">
        <v>984</v>
      </c>
      <c r="C697" s="30" t="s">
        <v>1051</v>
      </c>
      <c r="D697" s="32" t="s">
        <v>1855</v>
      </c>
      <c r="E697" s="5">
        <f>'ПДФО ГРОМАДИ'!M697</f>
        <v>0</v>
      </c>
      <c r="F697" s="5">
        <f>'ПДФО ГРОМАДИ'!N697</f>
        <v>305.10000000000002</v>
      </c>
    </row>
    <row r="698" spans="1:6" ht="15.75" x14ac:dyDescent="0.25">
      <c r="A698" s="38">
        <v>11</v>
      </c>
      <c r="B698" s="34" t="s">
        <v>984</v>
      </c>
      <c r="C698" s="30" t="s">
        <v>1052</v>
      </c>
      <c r="D698" s="32" t="s">
        <v>1856</v>
      </c>
      <c r="E698" s="5">
        <f>'ПДФО ГРОМАДИ'!M698</f>
        <v>0</v>
      </c>
      <c r="F698" s="5">
        <f>'ПДФО ГРОМАДИ'!N698</f>
        <v>0</v>
      </c>
    </row>
    <row r="699" spans="1:6" ht="15.75" x14ac:dyDescent="0.25">
      <c r="A699" s="38">
        <v>11</v>
      </c>
      <c r="B699" s="34" t="s">
        <v>984</v>
      </c>
      <c r="C699" s="30" t="s">
        <v>1053</v>
      </c>
      <c r="D699" s="32" t="s">
        <v>1857</v>
      </c>
      <c r="E699" s="5">
        <f>'ПДФО ГРОМАДИ'!M699</f>
        <v>0</v>
      </c>
      <c r="F699" s="5">
        <f>'ПДФО ГРОМАДИ'!N699</f>
        <v>4139.8999999999996</v>
      </c>
    </row>
    <row r="700" spans="1:6" ht="15.75" x14ac:dyDescent="0.25">
      <c r="A700" s="38">
        <v>11</v>
      </c>
      <c r="B700" s="34" t="s">
        <v>986</v>
      </c>
      <c r="C700" s="30" t="s">
        <v>1061</v>
      </c>
      <c r="D700" s="32" t="s">
        <v>1858</v>
      </c>
      <c r="E700" s="5">
        <f>'ПДФО ГРОМАДИ'!M700</f>
        <v>97635.3</v>
      </c>
      <c r="F700" s="5">
        <f>'ПДФО ГРОМАДИ'!N700</f>
        <v>0</v>
      </c>
    </row>
    <row r="701" spans="1:6" ht="15.75" x14ac:dyDescent="0.25">
      <c r="A701" s="38">
        <v>11</v>
      </c>
      <c r="B701" s="34" t="s">
        <v>984</v>
      </c>
      <c r="C701" s="30" t="s">
        <v>1859</v>
      </c>
      <c r="D701" s="32" t="s">
        <v>1860</v>
      </c>
      <c r="E701" s="5">
        <f>'ПДФО ГРОМАДИ'!M701</f>
        <v>0</v>
      </c>
      <c r="F701" s="5">
        <f>'ПДФО ГРОМАДИ'!N701</f>
        <v>0</v>
      </c>
    </row>
    <row r="702" spans="1:6" ht="15.75" x14ac:dyDescent="0.25">
      <c r="A702" s="38">
        <v>11</v>
      </c>
      <c r="B702" s="34" t="s">
        <v>983</v>
      </c>
      <c r="C702" s="30" t="s">
        <v>1861</v>
      </c>
      <c r="D702" s="32" t="s">
        <v>1862</v>
      </c>
      <c r="E702" s="5">
        <f>'ПДФО ГРОМАДИ'!M702</f>
        <v>0</v>
      </c>
      <c r="F702" s="5">
        <f>'ПДФО ГРОМАДИ'!N702</f>
        <v>16192.7</v>
      </c>
    </row>
    <row r="703" spans="1:6" ht="15.75" x14ac:dyDescent="0.25">
      <c r="A703" s="38">
        <v>11</v>
      </c>
      <c r="B703" s="34" t="s">
        <v>985</v>
      </c>
      <c r="C703" s="30" t="s">
        <v>1863</v>
      </c>
      <c r="D703" s="32" t="s">
        <v>1864</v>
      </c>
      <c r="E703" s="5">
        <f>'ПДФО ГРОМАДИ'!M703</f>
        <v>0</v>
      </c>
      <c r="F703" s="5">
        <f>'ПДФО ГРОМАДИ'!N703</f>
        <v>7303.5</v>
      </c>
    </row>
    <row r="704" spans="1:6" ht="15.75" x14ac:dyDescent="0.25">
      <c r="A704" s="38">
        <v>11</v>
      </c>
      <c r="B704" s="34" t="s">
        <v>983</v>
      </c>
      <c r="C704" s="30" t="s">
        <v>1865</v>
      </c>
      <c r="D704" s="32" t="s">
        <v>1866</v>
      </c>
      <c r="E704" s="5">
        <f>'ПДФО ГРОМАДИ'!M704</f>
        <v>0</v>
      </c>
      <c r="F704" s="5">
        <f>'ПДФО ГРОМАДИ'!N704</f>
        <v>18814.900000000001</v>
      </c>
    </row>
    <row r="705" spans="1:6" ht="15.75" x14ac:dyDescent="0.25">
      <c r="A705" s="38">
        <v>11</v>
      </c>
      <c r="B705" s="34" t="s">
        <v>985</v>
      </c>
      <c r="C705" s="30" t="s">
        <v>1867</v>
      </c>
      <c r="D705" s="32" t="s">
        <v>1868</v>
      </c>
      <c r="E705" s="5">
        <f>'ПДФО ГРОМАДИ'!M705</f>
        <v>0</v>
      </c>
      <c r="F705" s="5">
        <f>'ПДФО ГРОМАДИ'!N705</f>
        <v>0</v>
      </c>
    </row>
    <row r="706" spans="1:6" ht="15.75" x14ac:dyDescent="0.25">
      <c r="A706" s="38">
        <v>11</v>
      </c>
      <c r="B706" s="34" t="s">
        <v>983</v>
      </c>
      <c r="C706" s="30" t="s">
        <v>1869</v>
      </c>
      <c r="D706" s="32" t="s">
        <v>1870</v>
      </c>
      <c r="E706" s="5">
        <f>'ПДФО ГРОМАДИ'!M706</f>
        <v>0</v>
      </c>
      <c r="F706" s="5">
        <f>'ПДФО ГРОМАДИ'!N706</f>
        <v>10702.5</v>
      </c>
    </row>
    <row r="707" spans="1:6" ht="15.75" x14ac:dyDescent="0.25">
      <c r="A707" s="38">
        <v>11</v>
      </c>
      <c r="B707" s="34" t="s">
        <v>985</v>
      </c>
      <c r="C707" s="30" t="s">
        <v>1871</v>
      </c>
      <c r="D707" s="32" t="s">
        <v>1872</v>
      </c>
      <c r="E707" s="5">
        <f>'ПДФО ГРОМАДИ'!M707</f>
        <v>0</v>
      </c>
      <c r="F707" s="5">
        <f>'ПДФО ГРОМАДИ'!N707</f>
        <v>14315.7</v>
      </c>
    </row>
    <row r="708" spans="1:6" s="24" customFormat="1" ht="15.75" x14ac:dyDescent="0.25">
      <c r="A708" s="38">
        <v>11</v>
      </c>
      <c r="B708" s="34" t="s">
        <v>986</v>
      </c>
      <c r="C708" s="30" t="s">
        <v>1873</v>
      </c>
      <c r="D708" s="32" t="s">
        <v>1874</v>
      </c>
      <c r="E708" s="5">
        <f>'ПДФО ГРОМАДИ'!M708</f>
        <v>32264</v>
      </c>
      <c r="F708" s="5">
        <f>'ПДФО ГРОМАДИ'!N708</f>
        <v>0</v>
      </c>
    </row>
    <row r="709" spans="1:6" s="24" customFormat="1" ht="15.75" x14ac:dyDescent="0.25">
      <c r="A709" s="38">
        <v>11</v>
      </c>
      <c r="B709" s="34" t="s">
        <v>984</v>
      </c>
      <c r="C709" s="30" t="s">
        <v>1875</v>
      </c>
      <c r="D709" s="32" t="s">
        <v>1876</v>
      </c>
      <c r="E709" s="5">
        <f>'ПДФО ГРОМАДИ'!M709</f>
        <v>0</v>
      </c>
      <c r="F709" s="5">
        <f>'ПДФО ГРОМАДИ'!N709</f>
        <v>10305.1</v>
      </c>
    </row>
    <row r="710" spans="1:6" s="24" customFormat="1" ht="15.75" x14ac:dyDescent="0.25">
      <c r="A710" s="38">
        <v>11</v>
      </c>
      <c r="B710" s="34" t="s">
        <v>984</v>
      </c>
      <c r="C710" s="30" t="s">
        <v>1877</v>
      </c>
      <c r="D710" s="32" t="s">
        <v>1878</v>
      </c>
      <c r="E710" s="5">
        <f>'ПДФО ГРОМАДИ'!M710</f>
        <v>0</v>
      </c>
      <c r="F710" s="5">
        <f>'ПДФО ГРОМАДИ'!N710</f>
        <v>3240.1</v>
      </c>
    </row>
    <row r="711" spans="1:6" s="24" customFormat="1" ht="15.75" x14ac:dyDescent="0.25">
      <c r="A711" s="38">
        <v>11</v>
      </c>
      <c r="B711" s="34" t="s">
        <v>985</v>
      </c>
      <c r="C711" s="30" t="s">
        <v>1879</v>
      </c>
      <c r="D711" s="32" t="s">
        <v>1880</v>
      </c>
      <c r="E711" s="5">
        <f>'ПДФО ГРОМАДИ'!M711</f>
        <v>0</v>
      </c>
      <c r="F711" s="5">
        <f>'ПДФО ГРОМАДИ'!N711</f>
        <v>0</v>
      </c>
    </row>
    <row r="712" spans="1:6" s="24" customFormat="1" ht="15.75" x14ac:dyDescent="0.25">
      <c r="A712" s="38">
        <v>11</v>
      </c>
      <c r="B712" s="34" t="s">
        <v>985</v>
      </c>
      <c r="C712" s="30" t="s">
        <v>1881</v>
      </c>
      <c r="D712" s="32" t="s">
        <v>1882</v>
      </c>
      <c r="E712" s="5">
        <f>'ПДФО ГРОМАДИ'!M712</f>
        <v>0</v>
      </c>
      <c r="F712" s="5">
        <f>'ПДФО ГРОМАДИ'!N712</f>
        <v>310.89999999999998</v>
      </c>
    </row>
    <row r="713" spans="1:6" ht="15.75" x14ac:dyDescent="0.25">
      <c r="A713" s="38">
        <v>11</v>
      </c>
      <c r="B713" s="34" t="s">
        <v>983</v>
      </c>
      <c r="C713" s="30" t="s">
        <v>1883</v>
      </c>
      <c r="D713" s="32" t="s">
        <v>1884</v>
      </c>
      <c r="E713" s="5">
        <f>'ПДФО ГРОМАДИ'!M713</f>
        <v>0</v>
      </c>
      <c r="F713" s="5">
        <f>'ПДФО ГРОМАДИ'!N713</f>
        <v>5048.2</v>
      </c>
    </row>
    <row r="714" spans="1:6" ht="15.75" x14ac:dyDescent="0.25">
      <c r="A714" s="38">
        <v>11</v>
      </c>
      <c r="B714" s="34" t="s">
        <v>985</v>
      </c>
      <c r="C714" s="30" t="s">
        <v>1885</v>
      </c>
      <c r="D714" s="32" t="s">
        <v>1334</v>
      </c>
      <c r="E714" s="5">
        <f>'ПДФО ГРОМАДИ'!M714</f>
        <v>0</v>
      </c>
      <c r="F714" s="5">
        <f>'ПДФО ГРОМАДИ'!N714</f>
        <v>0</v>
      </c>
    </row>
    <row r="715" spans="1:6" ht="15.75" x14ac:dyDescent="0.25">
      <c r="A715" s="38">
        <v>11</v>
      </c>
      <c r="B715" s="34" t="s">
        <v>986</v>
      </c>
      <c r="C715" s="30" t="s">
        <v>1886</v>
      </c>
      <c r="D715" s="32" t="s">
        <v>1887</v>
      </c>
      <c r="E715" s="5">
        <f>'ПДФО ГРОМАДИ'!M715</f>
        <v>0</v>
      </c>
      <c r="F715" s="5">
        <f>'ПДФО ГРОМАДИ'!N715</f>
        <v>71090</v>
      </c>
    </row>
    <row r="716" spans="1:6" ht="15.75" x14ac:dyDescent="0.25">
      <c r="A716" s="38">
        <v>11</v>
      </c>
      <c r="B716" s="34" t="s">
        <v>985</v>
      </c>
      <c r="C716" s="30" t="s">
        <v>1888</v>
      </c>
      <c r="D716" s="32" t="s">
        <v>1889</v>
      </c>
      <c r="E716" s="5">
        <f>'ПДФО ГРОМАДИ'!M716</f>
        <v>0</v>
      </c>
      <c r="F716" s="5">
        <f>'ПДФО ГРОМАДИ'!N716</f>
        <v>7682.5</v>
      </c>
    </row>
    <row r="717" spans="1:6" ht="15.75" x14ac:dyDescent="0.25">
      <c r="A717" s="38">
        <v>11</v>
      </c>
      <c r="B717" s="34" t="s">
        <v>985</v>
      </c>
      <c r="C717" s="30" t="s">
        <v>1890</v>
      </c>
      <c r="D717" s="32" t="s">
        <v>1891</v>
      </c>
      <c r="E717" s="5">
        <f>'ПДФО ГРОМАДИ'!M717</f>
        <v>0</v>
      </c>
      <c r="F717" s="5">
        <f>'ПДФО ГРОМАДИ'!N717</f>
        <v>6510.6</v>
      </c>
    </row>
    <row r="718" spans="1:6" ht="15.75" x14ac:dyDescent="0.25">
      <c r="A718" s="38">
        <v>11</v>
      </c>
      <c r="B718" s="34" t="s">
        <v>984</v>
      </c>
      <c r="C718" s="30" t="s">
        <v>1892</v>
      </c>
      <c r="D718" s="32" t="s">
        <v>1893</v>
      </c>
      <c r="E718" s="5">
        <f>'ПДФО ГРОМАДИ'!M718</f>
        <v>0</v>
      </c>
      <c r="F718" s="5">
        <f>'ПДФО ГРОМАДИ'!N718</f>
        <v>3683.2</v>
      </c>
    </row>
    <row r="719" spans="1:6" ht="15.75" x14ac:dyDescent="0.25">
      <c r="A719" s="38">
        <v>11</v>
      </c>
      <c r="B719" s="34" t="s">
        <v>984</v>
      </c>
      <c r="C719" s="30" t="s">
        <v>1894</v>
      </c>
      <c r="D719" s="32" t="s">
        <v>1895</v>
      </c>
      <c r="E719" s="5">
        <f>'ПДФО ГРОМАДИ'!M719</f>
        <v>0</v>
      </c>
      <c r="F719" s="5">
        <f>'ПДФО ГРОМАДИ'!N719</f>
        <v>4215</v>
      </c>
    </row>
    <row r="720" spans="1:6" ht="15.75" x14ac:dyDescent="0.25">
      <c r="A720" s="38">
        <v>11</v>
      </c>
      <c r="B720" s="34" t="s">
        <v>985</v>
      </c>
      <c r="C720" s="30" t="s">
        <v>1896</v>
      </c>
      <c r="D720" s="32" t="s">
        <v>1897</v>
      </c>
      <c r="E720" s="5">
        <f>'ПДФО ГРОМАДИ'!M720</f>
        <v>2618.9</v>
      </c>
      <c r="F720" s="5">
        <f>'ПДФО ГРОМАДИ'!N720</f>
        <v>0</v>
      </c>
    </row>
    <row r="721" spans="1:6" ht="15.75" x14ac:dyDescent="0.25">
      <c r="A721" s="38">
        <v>11</v>
      </c>
      <c r="B721" s="34" t="s">
        <v>984</v>
      </c>
      <c r="C721" s="30" t="s">
        <v>1898</v>
      </c>
      <c r="D721" s="32" t="s">
        <v>1899</v>
      </c>
      <c r="E721" s="5">
        <f>'ПДФО ГРОМАДИ'!M721</f>
        <v>0</v>
      </c>
      <c r="F721" s="5">
        <f>'ПДФО ГРОМАДИ'!N721</f>
        <v>3515.2</v>
      </c>
    </row>
    <row r="722" spans="1:6" ht="15.75" x14ac:dyDescent="0.25">
      <c r="A722" s="38">
        <v>11</v>
      </c>
      <c r="B722" s="34" t="s">
        <v>986</v>
      </c>
      <c r="C722" s="30" t="s">
        <v>1900</v>
      </c>
      <c r="D722" s="32" t="s">
        <v>1901</v>
      </c>
      <c r="E722" s="5">
        <f>'ПДФО ГРОМАДИ'!M722</f>
        <v>0</v>
      </c>
      <c r="F722" s="5">
        <f>'ПДФО ГРОМАДИ'!N722</f>
        <v>9714.4</v>
      </c>
    </row>
    <row r="723" spans="1:6" ht="15.75" x14ac:dyDescent="0.25">
      <c r="A723" s="38">
        <v>11</v>
      </c>
      <c r="B723" s="34" t="s">
        <v>984</v>
      </c>
      <c r="C723" s="30" t="s">
        <v>1902</v>
      </c>
      <c r="D723" s="32" t="s">
        <v>1903</v>
      </c>
      <c r="E723" s="5">
        <f>'ПДФО ГРОМАДИ'!M723</f>
        <v>0</v>
      </c>
      <c r="F723" s="5">
        <f>'ПДФО ГРОМАДИ'!N723</f>
        <v>0</v>
      </c>
    </row>
    <row r="724" spans="1:6" ht="15.75" x14ac:dyDescent="0.25">
      <c r="A724" s="38">
        <v>11</v>
      </c>
      <c r="B724" s="34" t="s">
        <v>985</v>
      </c>
      <c r="C724" s="30" t="s">
        <v>1904</v>
      </c>
      <c r="D724" s="32" t="s">
        <v>1905</v>
      </c>
      <c r="E724" s="5">
        <f>'ПДФО ГРОМАДИ'!M724</f>
        <v>0</v>
      </c>
      <c r="F724" s="5">
        <f>'ПДФО ГРОМАДИ'!N724</f>
        <v>0</v>
      </c>
    </row>
    <row r="725" spans="1:6" ht="15.75" x14ac:dyDescent="0.25">
      <c r="A725" s="36">
        <v>12</v>
      </c>
      <c r="B725" s="17" t="s">
        <v>7</v>
      </c>
      <c r="C725" s="17" t="s">
        <v>787</v>
      </c>
      <c r="D725" s="11" t="s">
        <v>16</v>
      </c>
      <c r="E725" s="11">
        <f>E726+E727+E732</f>
        <v>21974.2</v>
      </c>
      <c r="F725" s="11">
        <f>F726+F727+F732</f>
        <v>853557.99999999977</v>
      </c>
    </row>
    <row r="726" spans="1:6" ht="15.75" x14ac:dyDescent="0.25">
      <c r="A726" s="38">
        <v>12</v>
      </c>
      <c r="B726" s="34" t="s">
        <v>6</v>
      </c>
      <c r="C726" s="18" t="s">
        <v>116</v>
      </c>
      <c r="D726" s="32" t="s">
        <v>849</v>
      </c>
      <c r="E726" s="5">
        <f>'ПДФО ОБЛАСНІ'!K14+'ПОДАТОК НА ПРИБУТОК'!K14</f>
        <v>0</v>
      </c>
      <c r="F726" s="5">
        <f>'ПДФО ОБЛАСНІ'!L14+'ПОДАТОК НА ПРИБУТОК'!L14</f>
        <v>187422.19999999998</v>
      </c>
    </row>
    <row r="727" spans="1:6" ht="15.75" x14ac:dyDescent="0.25">
      <c r="A727" s="37">
        <v>12</v>
      </c>
      <c r="B727" s="19" t="s">
        <v>5</v>
      </c>
      <c r="C727" s="19" t="s">
        <v>788</v>
      </c>
      <c r="D727" s="7" t="s">
        <v>2804</v>
      </c>
      <c r="E727" s="7">
        <f>SUM(E728:E731)</f>
        <v>0</v>
      </c>
      <c r="F727" s="7">
        <f>SUM(F728:F731)</f>
        <v>0</v>
      </c>
    </row>
    <row r="728" spans="1:6" ht="15.75" x14ac:dyDescent="0.25">
      <c r="A728" s="38">
        <v>12</v>
      </c>
      <c r="B728" s="34" t="s">
        <v>4</v>
      </c>
      <c r="C728" s="18" t="s">
        <v>117</v>
      </c>
      <c r="D728" s="32" t="s">
        <v>922</v>
      </c>
      <c r="E728" s="5">
        <f>'ПДФО ГРОМАДИ'!M728</f>
        <v>0</v>
      </c>
      <c r="F728" s="5">
        <f>'ПДФО ГРОМАДИ'!N728</f>
        <v>0</v>
      </c>
    </row>
    <row r="729" spans="1:6" ht="15.75" x14ac:dyDescent="0.25">
      <c r="A729" s="38">
        <v>12</v>
      </c>
      <c r="B729" s="34" t="s">
        <v>4</v>
      </c>
      <c r="C729" s="18" t="s">
        <v>118</v>
      </c>
      <c r="D729" s="32" t="s">
        <v>923</v>
      </c>
      <c r="E729" s="5">
        <f>'ПДФО ГРОМАДИ'!M729</f>
        <v>0</v>
      </c>
      <c r="F729" s="5">
        <f>'ПДФО ГРОМАДИ'!N729</f>
        <v>0</v>
      </c>
    </row>
    <row r="730" spans="1:6" ht="15.75" x14ac:dyDescent="0.25">
      <c r="A730" s="38">
        <v>12</v>
      </c>
      <c r="B730" s="34" t="s">
        <v>4</v>
      </c>
      <c r="C730" s="18">
        <v>12318200000</v>
      </c>
      <c r="D730" s="32" t="s">
        <v>1906</v>
      </c>
      <c r="E730" s="5">
        <f>'ПДФО ГРОМАДИ'!M730</f>
        <v>0</v>
      </c>
      <c r="F730" s="5">
        <f>'ПДФО ГРОМАДИ'!N730</f>
        <v>0</v>
      </c>
    </row>
    <row r="731" spans="1:6" ht="15.75" x14ac:dyDescent="0.25">
      <c r="A731" s="38">
        <v>12</v>
      </c>
      <c r="B731" s="34" t="s">
        <v>4</v>
      </c>
      <c r="C731" s="18">
        <v>12319200000</v>
      </c>
      <c r="D731" s="32" t="s">
        <v>1907</v>
      </c>
      <c r="E731" s="5">
        <f>'ПДФО ГРОМАДИ'!M731</f>
        <v>0</v>
      </c>
      <c r="F731" s="5">
        <f>'ПДФО ГРОМАДИ'!N731</f>
        <v>0</v>
      </c>
    </row>
    <row r="732" spans="1:6" ht="15.75" x14ac:dyDescent="0.25">
      <c r="A732" s="37">
        <v>12</v>
      </c>
      <c r="B732" s="19" t="s">
        <v>28</v>
      </c>
      <c r="C732" s="19" t="s">
        <v>789</v>
      </c>
      <c r="D732" s="20" t="s">
        <v>2778</v>
      </c>
      <c r="E732" s="7">
        <f>SUM(E733:E758)</f>
        <v>21974.2</v>
      </c>
      <c r="F732" s="7">
        <f>SUM(F733:F758)</f>
        <v>666135.79999999981</v>
      </c>
    </row>
    <row r="733" spans="1:6" ht="15.75" x14ac:dyDescent="0.25">
      <c r="A733" s="38">
        <v>12</v>
      </c>
      <c r="B733" s="34" t="s">
        <v>985</v>
      </c>
      <c r="C733" s="18" t="s">
        <v>234</v>
      </c>
      <c r="D733" s="32" t="s">
        <v>1908</v>
      </c>
      <c r="E733" s="5">
        <f>'ПДФО ГРОМАДИ'!M733</f>
        <v>0</v>
      </c>
      <c r="F733" s="5">
        <f>'ПДФО ГРОМАДИ'!N733</f>
        <v>17152.5</v>
      </c>
    </row>
    <row r="734" spans="1:6" ht="15.75" x14ac:dyDescent="0.25">
      <c r="A734" s="38">
        <v>12</v>
      </c>
      <c r="B734" s="34" t="s">
        <v>985</v>
      </c>
      <c r="C734" s="18" t="s">
        <v>235</v>
      </c>
      <c r="D734" s="32" t="s">
        <v>1909</v>
      </c>
      <c r="E734" s="5">
        <f>'ПДФО ГРОМАДИ'!M734</f>
        <v>0</v>
      </c>
      <c r="F734" s="5">
        <f>'ПДФО ГРОМАДИ'!N734</f>
        <v>23599.1</v>
      </c>
    </row>
    <row r="735" spans="1:6" ht="15.75" x14ac:dyDescent="0.25">
      <c r="A735" s="38">
        <v>12</v>
      </c>
      <c r="B735" s="34" t="s">
        <v>984</v>
      </c>
      <c r="C735" s="18" t="s">
        <v>378</v>
      </c>
      <c r="D735" s="32" t="s">
        <v>1910</v>
      </c>
      <c r="E735" s="5">
        <f>'ПДФО ГРОМАДИ'!M735</f>
        <v>0</v>
      </c>
      <c r="F735" s="5">
        <f>'ПДФО ГРОМАДИ'!N735</f>
        <v>20308.7</v>
      </c>
    </row>
    <row r="736" spans="1:6" ht="15.75" x14ac:dyDescent="0.25">
      <c r="A736" s="38">
        <v>12</v>
      </c>
      <c r="B736" s="34" t="s">
        <v>985</v>
      </c>
      <c r="C736" s="18" t="s">
        <v>487</v>
      </c>
      <c r="D736" s="32" t="s">
        <v>1911</v>
      </c>
      <c r="E736" s="5">
        <f>'ПДФО ГРОМАДИ'!M736</f>
        <v>0</v>
      </c>
      <c r="F736" s="5">
        <f>'ПДФО ГРОМАДИ'!N736</f>
        <v>0</v>
      </c>
    </row>
    <row r="737" spans="1:6" ht="15.75" x14ac:dyDescent="0.25">
      <c r="A737" s="38">
        <v>12</v>
      </c>
      <c r="B737" s="34" t="s">
        <v>985</v>
      </c>
      <c r="C737" s="18" t="s">
        <v>578</v>
      </c>
      <c r="D737" s="32" t="s">
        <v>1912</v>
      </c>
      <c r="E737" s="5">
        <f>'ПДФО ГРОМАДИ'!M737</f>
        <v>0</v>
      </c>
      <c r="F737" s="5">
        <f>'ПДФО ГРОМАДИ'!N737</f>
        <v>98378</v>
      </c>
    </row>
    <row r="738" spans="1:6" ht="15.75" x14ac:dyDescent="0.25">
      <c r="A738" s="38">
        <v>12</v>
      </c>
      <c r="B738" s="34" t="s">
        <v>985</v>
      </c>
      <c r="C738" s="18" t="s">
        <v>579</v>
      </c>
      <c r="D738" s="32" t="s">
        <v>1913</v>
      </c>
      <c r="E738" s="5">
        <f>'ПДФО ГРОМАДИ'!M738</f>
        <v>0</v>
      </c>
      <c r="F738" s="5">
        <f>'ПДФО ГРОМАДИ'!N738</f>
        <v>12519.3</v>
      </c>
    </row>
    <row r="739" spans="1:6" ht="15.75" x14ac:dyDescent="0.25">
      <c r="A739" s="38">
        <v>12</v>
      </c>
      <c r="B739" s="34" t="s">
        <v>985</v>
      </c>
      <c r="C739" s="18" t="s">
        <v>580</v>
      </c>
      <c r="D739" s="32" t="s">
        <v>1914</v>
      </c>
      <c r="E739" s="5">
        <f>'ПДФО ГРОМАДИ'!M739</f>
        <v>0</v>
      </c>
      <c r="F739" s="5">
        <f>'ПДФО ГРОМАДИ'!N739</f>
        <v>2171.3000000000002</v>
      </c>
    </row>
    <row r="740" spans="1:6" ht="15.75" x14ac:dyDescent="0.25">
      <c r="A740" s="39">
        <v>12</v>
      </c>
      <c r="B740" s="34" t="s">
        <v>985</v>
      </c>
      <c r="C740" s="18">
        <v>12509000000</v>
      </c>
      <c r="D740" s="32" t="s">
        <v>1915</v>
      </c>
      <c r="E740" s="5">
        <f>'ПДФО ГРОМАДИ'!M740</f>
        <v>0</v>
      </c>
      <c r="F740" s="5">
        <f>'ПДФО ГРОМАДИ'!N740</f>
        <v>1349.5</v>
      </c>
    </row>
    <row r="741" spans="1:6" ht="15.75" x14ac:dyDescent="0.25">
      <c r="A741" s="39">
        <v>12</v>
      </c>
      <c r="B741" s="34" t="s">
        <v>984</v>
      </c>
      <c r="C741" s="18">
        <v>12510000000</v>
      </c>
      <c r="D741" s="32" t="s">
        <v>1916</v>
      </c>
      <c r="E741" s="5">
        <f>'ПДФО ГРОМАДИ'!M741</f>
        <v>0</v>
      </c>
      <c r="F741" s="5">
        <f>'ПДФО ГРОМАДИ'!N741</f>
        <v>6559.3</v>
      </c>
    </row>
    <row r="742" spans="1:6" ht="15.75" x14ac:dyDescent="0.25">
      <c r="A742" s="39">
        <v>12</v>
      </c>
      <c r="B742" s="34" t="s">
        <v>985</v>
      </c>
      <c r="C742" s="18">
        <v>12511000000</v>
      </c>
      <c r="D742" s="32" t="s">
        <v>1917</v>
      </c>
      <c r="E742" s="5">
        <f>'ПДФО ГРОМАДИ'!M742</f>
        <v>0</v>
      </c>
      <c r="F742" s="5">
        <f>'ПДФО ГРОМАДИ'!N742</f>
        <v>63650.2</v>
      </c>
    </row>
    <row r="743" spans="1:6" ht="15.75" x14ac:dyDescent="0.25">
      <c r="A743" s="39">
        <v>12</v>
      </c>
      <c r="B743" s="34" t="s">
        <v>984</v>
      </c>
      <c r="C743" s="18">
        <v>12515000000</v>
      </c>
      <c r="D743" s="32" t="s">
        <v>1918</v>
      </c>
      <c r="E743" s="5">
        <f>'ПДФО ГРОМАДИ'!M743</f>
        <v>0</v>
      </c>
      <c r="F743" s="5">
        <f>'ПДФО ГРОМАДИ'!N743</f>
        <v>1133.5</v>
      </c>
    </row>
    <row r="744" spans="1:6" ht="15.75" x14ac:dyDescent="0.25">
      <c r="A744" s="39">
        <v>12</v>
      </c>
      <c r="B744" s="34" t="s">
        <v>985</v>
      </c>
      <c r="C744" s="18">
        <v>12516000000</v>
      </c>
      <c r="D744" s="80" t="s">
        <v>1919</v>
      </c>
      <c r="E744" s="5">
        <f>'ПДФО ГРОМАДИ'!M744</f>
        <v>0</v>
      </c>
      <c r="F744" s="5">
        <f>'ПДФО ГРОМАДИ'!N744</f>
        <v>14972.6</v>
      </c>
    </row>
    <row r="745" spans="1:6" ht="15.75" x14ac:dyDescent="0.25">
      <c r="A745" s="39">
        <v>12</v>
      </c>
      <c r="B745" s="34" t="s">
        <v>983</v>
      </c>
      <c r="C745" s="18">
        <v>12517000000</v>
      </c>
      <c r="D745" s="80" t="s">
        <v>1920</v>
      </c>
      <c r="E745" s="5">
        <f>'ПДФО ГРОМАДИ'!M745</f>
        <v>0</v>
      </c>
      <c r="F745" s="5">
        <f>'ПДФО ГРОМАДИ'!N745</f>
        <v>20346.099999999999</v>
      </c>
    </row>
    <row r="746" spans="1:6" ht="15.75" x14ac:dyDescent="0.25">
      <c r="A746" s="39">
        <v>12</v>
      </c>
      <c r="B746" s="34" t="s">
        <v>983</v>
      </c>
      <c r="C746" s="18">
        <v>12518000000</v>
      </c>
      <c r="D746" s="80" t="s">
        <v>1921</v>
      </c>
      <c r="E746" s="5">
        <f>'ПДФО ГРОМАДИ'!M746</f>
        <v>0</v>
      </c>
      <c r="F746" s="5">
        <f>'ПДФО ГРОМАДИ'!N746</f>
        <v>46460.9</v>
      </c>
    </row>
    <row r="747" spans="1:6" ht="15.75" x14ac:dyDescent="0.25">
      <c r="A747" s="39">
        <v>12</v>
      </c>
      <c r="B747" s="34" t="s">
        <v>986</v>
      </c>
      <c r="C747" s="18">
        <v>12519000000</v>
      </c>
      <c r="D747" s="80" t="s">
        <v>1922</v>
      </c>
      <c r="E747" s="5">
        <f>'ПДФО ГРОМАДИ'!M747</f>
        <v>0</v>
      </c>
      <c r="F747" s="5">
        <f>'ПДФО ГРОМАДИ'!N747</f>
        <v>104817.8</v>
      </c>
    </row>
    <row r="748" spans="1:6" ht="31.5" customHeight="1" x14ac:dyDescent="0.25">
      <c r="A748" s="39">
        <v>12</v>
      </c>
      <c r="B748" s="34" t="s">
        <v>985</v>
      </c>
      <c r="C748" s="18">
        <v>12520000000</v>
      </c>
      <c r="D748" s="80" t="s">
        <v>1923</v>
      </c>
      <c r="E748" s="5">
        <f>'ПДФО ГРОМАДИ'!M748</f>
        <v>0</v>
      </c>
      <c r="F748" s="5">
        <f>'ПДФО ГРОМАДИ'!N748</f>
        <v>47038.8</v>
      </c>
    </row>
    <row r="749" spans="1:6" ht="15.75" x14ac:dyDescent="0.25">
      <c r="A749" s="39">
        <v>12</v>
      </c>
      <c r="B749" s="34" t="s">
        <v>984</v>
      </c>
      <c r="C749" s="18">
        <v>12521000000</v>
      </c>
      <c r="D749" s="80" t="s">
        <v>1924</v>
      </c>
      <c r="E749" s="5">
        <f>'ПДФО ГРОМАДИ'!M749</f>
        <v>0</v>
      </c>
      <c r="F749" s="5">
        <f>'ПДФО ГРОМАДИ'!N749</f>
        <v>10348.200000000001</v>
      </c>
    </row>
    <row r="750" spans="1:6" ht="15.75" x14ac:dyDescent="0.25">
      <c r="A750" s="39">
        <v>12</v>
      </c>
      <c r="B750" s="34" t="s">
        <v>985</v>
      </c>
      <c r="C750" s="18">
        <v>12522000000</v>
      </c>
      <c r="D750" s="80" t="s">
        <v>1925</v>
      </c>
      <c r="E750" s="5">
        <f>'ПДФО ГРОМАДИ'!M750</f>
        <v>0</v>
      </c>
      <c r="F750" s="5">
        <f>'ПДФО ГРОМАДИ'!N750</f>
        <v>32056</v>
      </c>
    </row>
    <row r="751" spans="1:6" ht="15.75" x14ac:dyDescent="0.25">
      <c r="A751" s="39">
        <v>12</v>
      </c>
      <c r="B751" s="34" t="s">
        <v>983</v>
      </c>
      <c r="C751" s="18">
        <v>12523000000</v>
      </c>
      <c r="D751" s="80" t="s">
        <v>1926</v>
      </c>
      <c r="E751" s="5">
        <f>'ПДФО ГРОМАДИ'!M751</f>
        <v>0</v>
      </c>
      <c r="F751" s="5">
        <f>'ПДФО ГРОМАДИ'!N751</f>
        <v>1824.8</v>
      </c>
    </row>
    <row r="752" spans="1:6" ht="15.75" x14ac:dyDescent="0.25">
      <c r="A752" s="39">
        <v>12</v>
      </c>
      <c r="B752" s="34" t="s">
        <v>986</v>
      </c>
      <c r="C752" s="18">
        <v>12524000000</v>
      </c>
      <c r="D752" s="80" t="s">
        <v>1927</v>
      </c>
      <c r="E752" s="5">
        <f>'ПДФО ГРОМАДИ'!M752</f>
        <v>0</v>
      </c>
      <c r="F752" s="5">
        <f>'ПДФО ГРОМАДИ'!N752</f>
        <v>19646.599999999999</v>
      </c>
    </row>
    <row r="753" spans="1:6" ht="15.75" x14ac:dyDescent="0.25">
      <c r="A753" s="39">
        <v>12</v>
      </c>
      <c r="B753" s="34" t="s">
        <v>983</v>
      </c>
      <c r="C753" s="18">
        <v>12525000000</v>
      </c>
      <c r="D753" s="80" t="s">
        <v>1928</v>
      </c>
      <c r="E753" s="5">
        <f>'ПДФО ГРОМАДИ'!M753</f>
        <v>0</v>
      </c>
      <c r="F753" s="5">
        <f>'ПДФО ГРОМАДИ'!N753</f>
        <v>15422.7</v>
      </c>
    </row>
    <row r="754" spans="1:6" ht="15.75" x14ac:dyDescent="0.25">
      <c r="A754" s="39">
        <v>12</v>
      </c>
      <c r="B754" s="34" t="s">
        <v>986</v>
      </c>
      <c r="C754" s="18">
        <v>12526000000</v>
      </c>
      <c r="D754" s="80" t="s">
        <v>1929</v>
      </c>
      <c r="E754" s="5">
        <f>'ПДФО ГРОМАДИ'!M754</f>
        <v>21974.2</v>
      </c>
      <c r="F754" s="5">
        <f>'ПДФО ГРОМАДИ'!N754</f>
        <v>0</v>
      </c>
    </row>
    <row r="755" spans="1:6" ht="15.75" x14ac:dyDescent="0.25">
      <c r="A755" s="39">
        <v>12</v>
      </c>
      <c r="B755" s="34" t="s">
        <v>985</v>
      </c>
      <c r="C755" s="18">
        <v>12527000000</v>
      </c>
      <c r="D755" s="80" t="s">
        <v>1930</v>
      </c>
      <c r="E755" s="5">
        <f>'ПДФО ГРОМАДИ'!M755</f>
        <v>0</v>
      </c>
      <c r="F755" s="5">
        <f>'ПДФО ГРОМАДИ'!N755</f>
        <v>48889.2</v>
      </c>
    </row>
    <row r="756" spans="1:6" ht="15.75" x14ac:dyDescent="0.25">
      <c r="A756" s="39">
        <v>12</v>
      </c>
      <c r="B756" s="34" t="s">
        <v>983</v>
      </c>
      <c r="C756" s="18">
        <v>12528000000</v>
      </c>
      <c r="D756" s="80" t="s">
        <v>1931</v>
      </c>
      <c r="E756" s="5">
        <f>'ПДФО ГРОМАДИ'!M756</f>
        <v>0</v>
      </c>
      <c r="F756" s="5">
        <f>'ПДФО ГРОМАДИ'!N756</f>
        <v>28063.200000000001</v>
      </c>
    </row>
    <row r="757" spans="1:6" ht="15.75" x14ac:dyDescent="0.25">
      <c r="A757" s="39">
        <v>12</v>
      </c>
      <c r="B757" s="34" t="s">
        <v>984</v>
      </c>
      <c r="C757" s="18">
        <v>12529000000</v>
      </c>
      <c r="D757" s="80" t="s">
        <v>1618</v>
      </c>
      <c r="E757" s="5">
        <f>'ПДФО ГРОМАДИ'!M757</f>
        <v>0</v>
      </c>
      <c r="F757" s="5">
        <f>'ПДФО ГРОМАДИ'!N757</f>
        <v>10739.1</v>
      </c>
    </row>
    <row r="758" spans="1:6" ht="15.75" x14ac:dyDescent="0.25">
      <c r="A758" s="39">
        <v>12</v>
      </c>
      <c r="B758" s="34" t="s">
        <v>983</v>
      </c>
      <c r="C758" s="18">
        <v>12530000000</v>
      </c>
      <c r="D758" s="80" t="s">
        <v>1932</v>
      </c>
      <c r="E758" s="5">
        <f>'ПДФО ГРОМАДИ'!M758</f>
        <v>0</v>
      </c>
      <c r="F758" s="5">
        <f>'ПДФО ГРОМАДИ'!N758</f>
        <v>18688.400000000001</v>
      </c>
    </row>
    <row r="759" spans="1:6" ht="15.75" x14ac:dyDescent="0.25">
      <c r="A759" s="36">
        <v>13</v>
      </c>
      <c r="B759" s="17" t="s">
        <v>7</v>
      </c>
      <c r="C759" s="17" t="s">
        <v>790</v>
      </c>
      <c r="D759" s="11" t="s">
        <v>850</v>
      </c>
      <c r="E759" s="11">
        <f>E760+E761+E769</f>
        <v>873268.2</v>
      </c>
      <c r="F759" s="11">
        <f>F760+F761+F769</f>
        <v>1130347.0999999996</v>
      </c>
    </row>
    <row r="760" spans="1:6" ht="15.75" x14ac:dyDescent="0.25">
      <c r="A760" s="38">
        <v>13</v>
      </c>
      <c r="B760" s="34" t="s">
        <v>6</v>
      </c>
      <c r="C760" s="18" t="s">
        <v>119</v>
      </c>
      <c r="D760" s="32" t="s">
        <v>851</v>
      </c>
      <c r="E760" s="5">
        <f>'ПДФО ОБЛАСНІ'!K15+'ПОДАТОК НА ПРИБУТОК'!K15</f>
        <v>0</v>
      </c>
      <c r="F760" s="5">
        <f>'ПДФО ОБЛАСНІ'!L15+'ПОДАТОК НА ПРИБУТОК'!L15</f>
        <v>0</v>
      </c>
    </row>
    <row r="761" spans="1:6" ht="15.75" x14ac:dyDescent="0.25">
      <c r="A761" s="37">
        <v>13</v>
      </c>
      <c r="B761" s="19" t="s">
        <v>5</v>
      </c>
      <c r="C761" s="19" t="s">
        <v>791</v>
      </c>
      <c r="D761" s="7" t="s">
        <v>2805</v>
      </c>
      <c r="E761" s="7">
        <f>SUM(E762:E768)</f>
        <v>0</v>
      </c>
      <c r="F761" s="7">
        <f>SUM(F762:F768)</f>
        <v>0</v>
      </c>
    </row>
    <row r="762" spans="1:6" ht="15.75" x14ac:dyDescent="0.25">
      <c r="A762" s="38">
        <v>13</v>
      </c>
      <c r="B762" s="34" t="s">
        <v>4</v>
      </c>
      <c r="C762" s="18" t="s">
        <v>120</v>
      </c>
      <c r="D762" s="32" t="s">
        <v>924</v>
      </c>
      <c r="E762" s="5">
        <f>'ПДФО ГРОМАДИ'!M762</f>
        <v>0</v>
      </c>
      <c r="F762" s="5">
        <f>'ПДФО ГРОМАДИ'!N762</f>
        <v>0</v>
      </c>
    </row>
    <row r="763" spans="1:6" ht="15.75" x14ac:dyDescent="0.25">
      <c r="A763" s="38">
        <v>13</v>
      </c>
      <c r="B763" s="34" t="s">
        <v>4</v>
      </c>
      <c r="C763" s="18" t="s">
        <v>121</v>
      </c>
      <c r="D763" s="32" t="s">
        <v>925</v>
      </c>
      <c r="E763" s="5">
        <f>'ПДФО ГРОМАДИ'!M763</f>
        <v>0</v>
      </c>
      <c r="F763" s="5">
        <f>'ПДФО ГРОМАДИ'!N763</f>
        <v>0</v>
      </c>
    </row>
    <row r="764" spans="1:6" ht="15.75" x14ac:dyDescent="0.25">
      <c r="A764" s="38">
        <v>13</v>
      </c>
      <c r="B764" s="34" t="s">
        <v>4</v>
      </c>
      <c r="C764" s="18" t="s">
        <v>122</v>
      </c>
      <c r="D764" s="32" t="s">
        <v>927</v>
      </c>
      <c r="E764" s="5">
        <f>'ПДФО ГРОМАДИ'!M764</f>
        <v>0</v>
      </c>
      <c r="F764" s="5">
        <f>'ПДФО ГРОМАДИ'!N764</f>
        <v>0</v>
      </c>
    </row>
    <row r="765" spans="1:6" ht="15.75" x14ac:dyDescent="0.25">
      <c r="A765" s="38">
        <v>13</v>
      </c>
      <c r="B765" s="34" t="s">
        <v>4</v>
      </c>
      <c r="C765" s="18" t="s">
        <v>123</v>
      </c>
      <c r="D765" s="32" t="s">
        <v>928</v>
      </c>
      <c r="E765" s="5">
        <f>'ПДФО ГРОМАДИ'!M765</f>
        <v>0</v>
      </c>
      <c r="F765" s="5">
        <f>'ПДФО ГРОМАДИ'!N765</f>
        <v>0</v>
      </c>
    </row>
    <row r="766" spans="1:6" ht="15.75" x14ac:dyDescent="0.25">
      <c r="A766" s="38">
        <v>13</v>
      </c>
      <c r="B766" s="34" t="s">
        <v>4</v>
      </c>
      <c r="C766" s="18" t="s">
        <v>124</v>
      </c>
      <c r="D766" s="32" t="s">
        <v>929</v>
      </c>
      <c r="E766" s="5">
        <f>'ПДФО ГРОМАДИ'!M766</f>
        <v>0</v>
      </c>
      <c r="F766" s="5">
        <f>'ПДФО ГРОМАДИ'!N766</f>
        <v>0</v>
      </c>
    </row>
    <row r="767" spans="1:6" ht="15.75" x14ac:dyDescent="0.25">
      <c r="A767" s="38">
        <v>13</v>
      </c>
      <c r="B767" s="34" t="s">
        <v>4</v>
      </c>
      <c r="C767" s="18">
        <v>13321200000</v>
      </c>
      <c r="D767" s="32" t="s">
        <v>1933</v>
      </c>
      <c r="E767" s="5">
        <f>'ПДФО ГРОМАДИ'!M767</f>
        <v>0</v>
      </c>
      <c r="F767" s="5">
        <f>'ПДФО ГРОМАДИ'!N767</f>
        <v>0</v>
      </c>
    </row>
    <row r="768" spans="1:6" ht="15.75" x14ac:dyDescent="0.25">
      <c r="A768" s="38">
        <v>13</v>
      </c>
      <c r="B768" s="34" t="s">
        <v>4</v>
      </c>
      <c r="C768" s="18">
        <v>13322200000</v>
      </c>
      <c r="D768" s="32" t="s">
        <v>1934</v>
      </c>
      <c r="E768" s="5">
        <f>'ПДФО ГРОМАДИ'!M768</f>
        <v>0</v>
      </c>
      <c r="F768" s="5">
        <f>'ПДФО ГРОМАДИ'!N768</f>
        <v>0</v>
      </c>
    </row>
    <row r="769" spans="1:6" ht="15.75" x14ac:dyDescent="0.25">
      <c r="A769" s="37">
        <v>13</v>
      </c>
      <c r="B769" s="19" t="s">
        <v>28</v>
      </c>
      <c r="C769" s="19" t="s">
        <v>792</v>
      </c>
      <c r="D769" s="20" t="s">
        <v>2779</v>
      </c>
      <c r="E769" s="7">
        <f>SUM(E770:E842)</f>
        <v>873268.2</v>
      </c>
      <c r="F769" s="7">
        <f>SUM(F770:F842)</f>
        <v>1130347.0999999996</v>
      </c>
    </row>
    <row r="770" spans="1:6" ht="15.75" x14ac:dyDescent="0.25">
      <c r="A770" s="38">
        <v>13</v>
      </c>
      <c r="B770" s="34" t="s">
        <v>984</v>
      </c>
      <c r="C770" s="18" t="s">
        <v>125</v>
      </c>
      <c r="D770" s="32" t="s">
        <v>1935</v>
      </c>
      <c r="E770" s="5">
        <f>'ПДФО ГРОМАДИ'!M770</f>
        <v>0</v>
      </c>
      <c r="F770" s="5">
        <f>'ПДФО ГРОМАДИ'!N770</f>
        <v>31164.5</v>
      </c>
    </row>
    <row r="771" spans="1:6" ht="15.75" x14ac:dyDescent="0.25">
      <c r="A771" s="38">
        <v>13</v>
      </c>
      <c r="B771" s="34" t="s">
        <v>985</v>
      </c>
      <c r="C771" s="18" t="s">
        <v>126</v>
      </c>
      <c r="D771" s="32" t="s">
        <v>1936</v>
      </c>
      <c r="E771" s="5">
        <f>'ПДФО ГРОМАДИ'!M771</f>
        <v>0</v>
      </c>
      <c r="F771" s="5">
        <f>'ПДФО ГРОМАДИ'!N771</f>
        <v>6019.5</v>
      </c>
    </row>
    <row r="772" spans="1:6" ht="15.75" x14ac:dyDescent="0.25">
      <c r="A772" s="38">
        <v>13</v>
      </c>
      <c r="B772" s="34" t="s">
        <v>984</v>
      </c>
      <c r="C772" s="18" t="s">
        <v>127</v>
      </c>
      <c r="D772" s="32" t="s">
        <v>1937</v>
      </c>
      <c r="E772" s="5">
        <f>'ПДФО ГРОМАДИ'!M772</f>
        <v>0</v>
      </c>
      <c r="F772" s="5">
        <f>'ПДФО ГРОМАДИ'!N772</f>
        <v>2791.7</v>
      </c>
    </row>
    <row r="773" spans="1:6" ht="15.75" x14ac:dyDescent="0.25">
      <c r="A773" s="38">
        <v>13</v>
      </c>
      <c r="B773" s="34" t="s">
        <v>983</v>
      </c>
      <c r="C773" s="18" t="s">
        <v>236</v>
      </c>
      <c r="D773" s="32" t="s">
        <v>1938</v>
      </c>
      <c r="E773" s="5">
        <f>'ПДФО ГРОМАДИ'!M773</f>
        <v>0</v>
      </c>
      <c r="F773" s="5">
        <f>'ПДФО ГРОМАДИ'!N773</f>
        <v>7270.9</v>
      </c>
    </row>
    <row r="774" spans="1:6" ht="15.75" x14ac:dyDescent="0.25">
      <c r="A774" s="38">
        <v>13</v>
      </c>
      <c r="B774" s="34" t="s">
        <v>984</v>
      </c>
      <c r="C774" s="18" t="s">
        <v>237</v>
      </c>
      <c r="D774" s="32" t="s">
        <v>1939</v>
      </c>
      <c r="E774" s="5">
        <f>'ПДФО ГРОМАДИ'!M774</f>
        <v>0</v>
      </c>
      <c r="F774" s="5">
        <f>'ПДФО ГРОМАДИ'!N774</f>
        <v>7146.3</v>
      </c>
    </row>
    <row r="775" spans="1:6" ht="15.75" x14ac:dyDescent="0.25">
      <c r="A775" s="38">
        <v>13</v>
      </c>
      <c r="B775" s="34" t="s">
        <v>983</v>
      </c>
      <c r="C775" s="18" t="s">
        <v>286</v>
      </c>
      <c r="D775" s="32" t="s">
        <v>1940</v>
      </c>
      <c r="E775" s="5">
        <f>'ПДФО ГРОМАДИ'!M775</f>
        <v>0</v>
      </c>
      <c r="F775" s="5">
        <f>'ПДФО ГРОМАДИ'!N775</f>
        <v>29117.200000000001</v>
      </c>
    </row>
    <row r="776" spans="1:6" ht="15.75" x14ac:dyDescent="0.25">
      <c r="A776" s="38">
        <v>13</v>
      </c>
      <c r="B776" s="34" t="s">
        <v>983</v>
      </c>
      <c r="C776" s="18" t="s">
        <v>379</v>
      </c>
      <c r="D776" s="32" t="s">
        <v>1941</v>
      </c>
      <c r="E776" s="5">
        <f>'ПДФО ГРОМАДИ'!M776</f>
        <v>0</v>
      </c>
      <c r="F776" s="5">
        <f>'ПДФО ГРОМАДИ'!N776</f>
        <v>34162.300000000003</v>
      </c>
    </row>
    <row r="777" spans="1:6" ht="15.75" x14ac:dyDescent="0.25">
      <c r="A777" s="38">
        <v>13</v>
      </c>
      <c r="B777" s="34" t="s">
        <v>983</v>
      </c>
      <c r="C777" s="18" t="s">
        <v>380</v>
      </c>
      <c r="D777" s="32" t="s">
        <v>1942</v>
      </c>
      <c r="E777" s="5">
        <f>'ПДФО ГРОМАДИ'!M777</f>
        <v>0</v>
      </c>
      <c r="F777" s="5">
        <f>'ПДФО ГРОМАДИ'!N777</f>
        <v>20429.599999999999</v>
      </c>
    </row>
    <row r="778" spans="1:6" ht="15.75" x14ac:dyDescent="0.25">
      <c r="A778" s="38">
        <v>13</v>
      </c>
      <c r="B778" s="34" t="s">
        <v>984</v>
      </c>
      <c r="C778" s="18" t="s">
        <v>381</v>
      </c>
      <c r="D778" s="32" t="s">
        <v>1943</v>
      </c>
      <c r="E778" s="5">
        <f>'ПДФО ГРОМАДИ'!M778</f>
        <v>0</v>
      </c>
      <c r="F778" s="5">
        <f>'ПДФО ГРОМАДИ'!N778</f>
        <v>7497.1</v>
      </c>
    </row>
    <row r="779" spans="1:6" ht="15.75" x14ac:dyDescent="0.25">
      <c r="A779" s="38">
        <v>13</v>
      </c>
      <c r="B779" s="34" t="s">
        <v>984</v>
      </c>
      <c r="C779" s="18" t="s">
        <v>382</v>
      </c>
      <c r="D779" s="32" t="s">
        <v>1944</v>
      </c>
      <c r="E779" s="5">
        <f>'ПДФО ГРОМАДИ'!M779</f>
        <v>0</v>
      </c>
      <c r="F779" s="5">
        <f>'ПДФО ГРОМАДИ'!N779</f>
        <v>0</v>
      </c>
    </row>
    <row r="780" spans="1:6" ht="15.75" x14ac:dyDescent="0.25">
      <c r="A780" s="38">
        <v>13</v>
      </c>
      <c r="B780" s="34" t="s">
        <v>984</v>
      </c>
      <c r="C780" s="18" t="s">
        <v>383</v>
      </c>
      <c r="D780" s="32" t="s">
        <v>1945</v>
      </c>
      <c r="E780" s="5">
        <f>'ПДФО ГРОМАДИ'!M780</f>
        <v>0</v>
      </c>
      <c r="F780" s="5">
        <f>'ПДФО ГРОМАДИ'!N780</f>
        <v>4902.3999999999996</v>
      </c>
    </row>
    <row r="781" spans="1:6" ht="15.75" x14ac:dyDescent="0.25">
      <c r="A781" s="38">
        <v>13</v>
      </c>
      <c r="B781" s="34" t="s">
        <v>985</v>
      </c>
      <c r="C781" s="18" t="s">
        <v>488</v>
      </c>
      <c r="D781" s="32" t="s">
        <v>1946</v>
      </c>
      <c r="E781" s="5">
        <f>'ПДФО ГРОМАДИ'!M781</f>
        <v>0</v>
      </c>
      <c r="F781" s="5">
        <f>'ПДФО ГРОМАДИ'!N781</f>
        <v>12195.8</v>
      </c>
    </row>
    <row r="782" spans="1:6" ht="15.75" x14ac:dyDescent="0.25">
      <c r="A782" s="38">
        <v>13</v>
      </c>
      <c r="B782" s="34" t="s">
        <v>984</v>
      </c>
      <c r="C782" s="18" t="s">
        <v>489</v>
      </c>
      <c r="D782" s="32" t="s">
        <v>1947</v>
      </c>
      <c r="E782" s="5">
        <f>'ПДФО ГРОМАДИ'!M782</f>
        <v>0</v>
      </c>
      <c r="F782" s="5">
        <f>'ПДФО ГРОМАДИ'!N782</f>
        <v>14729.6</v>
      </c>
    </row>
    <row r="783" spans="1:6" ht="15.75" x14ac:dyDescent="0.25">
      <c r="A783" s="38">
        <v>13</v>
      </c>
      <c r="B783" s="34" t="s">
        <v>984</v>
      </c>
      <c r="C783" s="18" t="s">
        <v>581</v>
      </c>
      <c r="D783" s="32" t="s">
        <v>1948</v>
      </c>
      <c r="E783" s="5">
        <f>'ПДФО ГРОМАДИ'!M783</f>
        <v>0</v>
      </c>
      <c r="F783" s="5">
        <f>'ПДФО ГРОМАДИ'!N783</f>
        <v>10438.299999999999</v>
      </c>
    </row>
    <row r="784" spans="1:6" ht="15.75" x14ac:dyDescent="0.25">
      <c r="A784" s="38">
        <v>13</v>
      </c>
      <c r="B784" s="34" t="s">
        <v>984</v>
      </c>
      <c r="C784" s="18" t="s">
        <v>582</v>
      </c>
      <c r="D784" s="32" t="s">
        <v>1949</v>
      </c>
      <c r="E784" s="5">
        <f>'ПДФО ГРОМАДИ'!M784</f>
        <v>3976.7</v>
      </c>
      <c r="F784" s="5">
        <f>'ПДФО ГРОМАДИ'!N784</f>
        <v>0</v>
      </c>
    </row>
    <row r="785" spans="1:6" ht="15.75" x14ac:dyDescent="0.25">
      <c r="A785" s="38">
        <v>13</v>
      </c>
      <c r="B785" s="34" t="s">
        <v>985</v>
      </c>
      <c r="C785" s="18" t="s">
        <v>583</v>
      </c>
      <c r="D785" s="32" t="s">
        <v>1950</v>
      </c>
      <c r="E785" s="5">
        <f>'ПДФО ГРОМАДИ'!M785</f>
        <v>0</v>
      </c>
      <c r="F785" s="5">
        <f>'ПДФО ГРОМАДИ'!N785</f>
        <v>16751.7</v>
      </c>
    </row>
    <row r="786" spans="1:6" ht="15.75" x14ac:dyDescent="0.25">
      <c r="A786" s="38">
        <v>13</v>
      </c>
      <c r="B786" s="34" t="s">
        <v>983</v>
      </c>
      <c r="C786" s="18" t="s">
        <v>584</v>
      </c>
      <c r="D786" s="32" t="s">
        <v>1951</v>
      </c>
      <c r="E786" s="5">
        <f>'ПДФО ГРОМАДИ'!M786</f>
        <v>0</v>
      </c>
      <c r="F786" s="5">
        <f>'ПДФО ГРОМАДИ'!N786</f>
        <v>39956.5</v>
      </c>
    </row>
    <row r="787" spans="1:6" ht="15.75" x14ac:dyDescent="0.25">
      <c r="A787" s="38">
        <v>13</v>
      </c>
      <c r="B787" s="34" t="s">
        <v>985</v>
      </c>
      <c r="C787" s="18" t="s">
        <v>585</v>
      </c>
      <c r="D787" s="32" t="s">
        <v>1952</v>
      </c>
      <c r="E787" s="5">
        <f>'ПДФО ГРОМАДИ'!M787</f>
        <v>50357.4</v>
      </c>
      <c r="F787" s="5">
        <f>'ПДФО ГРОМАДИ'!N787</f>
        <v>0</v>
      </c>
    </row>
    <row r="788" spans="1:6" ht="15.75" x14ac:dyDescent="0.25">
      <c r="A788" s="38">
        <v>13</v>
      </c>
      <c r="B788" s="34" t="s">
        <v>983</v>
      </c>
      <c r="C788" s="18" t="s">
        <v>586</v>
      </c>
      <c r="D788" s="32" t="s">
        <v>1953</v>
      </c>
      <c r="E788" s="5">
        <f>'ПДФО ГРОМАДИ'!M788</f>
        <v>0</v>
      </c>
      <c r="F788" s="5">
        <f>'ПДФО ГРОМАДИ'!N788</f>
        <v>8191.2</v>
      </c>
    </row>
    <row r="789" spans="1:6" ht="15.75" x14ac:dyDescent="0.25">
      <c r="A789" s="38">
        <v>13</v>
      </c>
      <c r="B789" s="34" t="s">
        <v>983</v>
      </c>
      <c r="C789" s="18" t="s">
        <v>697</v>
      </c>
      <c r="D789" s="32" t="s">
        <v>1954</v>
      </c>
      <c r="E789" s="5">
        <f>'ПДФО ГРОМАДИ'!M789</f>
        <v>612.20000000000005</v>
      </c>
      <c r="F789" s="5">
        <f>'ПДФО ГРОМАДИ'!N789</f>
        <v>0</v>
      </c>
    </row>
    <row r="790" spans="1:6" ht="15.75" x14ac:dyDescent="0.25">
      <c r="A790" s="38">
        <v>13</v>
      </c>
      <c r="B790" s="34" t="s">
        <v>984</v>
      </c>
      <c r="C790" s="18" t="s">
        <v>698</v>
      </c>
      <c r="D790" s="32" t="s">
        <v>1955</v>
      </c>
      <c r="E790" s="5">
        <f>'ПДФО ГРОМАДИ'!M790</f>
        <v>0</v>
      </c>
      <c r="F790" s="5">
        <f>'ПДФО ГРОМАДИ'!N790</f>
        <v>3366.2</v>
      </c>
    </row>
    <row r="791" spans="1:6" ht="15.75" x14ac:dyDescent="0.25">
      <c r="A791" s="38">
        <v>13</v>
      </c>
      <c r="B791" s="34" t="s">
        <v>983</v>
      </c>
      <c r="C791" s="18">
        <v>13536000000</v>
      </c>
      <c r="D791" s="32" t="s">
        <v>1956</v>
      </c>
      <c r="E791" s="5">
        <f>'ПДФО ГРОМАДИ'!M791</f>
        <v>0</v>
      </c>
      <c r="F791" s="5">
        <f>'ПДФО ГРОМАДИ'!N791</f>
        <v>19544.2</v>
      </c>
    </row>
    <row r="792" spans="1:6" ht="15.75" x14ac:dyDescent="0.25">
      <c r="A792" s="38">
        <v>13</v>
      </c>
      <c r="B792" s="34" t="s">
        <v>984</v>
      </c>
      <c r="C792" s="18">
        <v>13537000000</v>
      </c>
      <c r="D792" s="32" t="s">
        <v>1957</v>
      </c>
      <c r="E792" s="5">
        <f>'ПДФО ГРОМАДИ'!M792</f>
        <v>0</v>
      </c>
      <c r="F792" s="5">
        <f>'ПДФО ГРОМАДИ'!N792</f>
        <v>25636.1</v>
      </c>
    </row>
    <row r="793" spans="1:6" ht="15.75" x14ac:dyDescent="0.25">
      <c r="A793" s="38">
        <v>13</v>
      </c>
      <c r="B793" s="34" t="s">
        <v>985</v>
      </c>
      <c r="C793" s="18">
        <v>13538000000</v>
      </c>
      <c r="D793" s="32" t="s">
        <v>1958</v>
      </c>
      <c r="E793" s="5">
        <f>'ПДФО ГРОМАДИ'!M793</f>
        <v>0</v>
      </c>
      <c r="F793" s="5">
        <f>'ПДФО ГРОМАДИ'!N793</f>
        <v>18340.5</v>
      </c>
    </row>
    <row r="794" spans="1:6" ht="15.75" x14ac:dyDescent="0.25">
      <c r="A794" s="38">
        <v>13</v>
      </c>
      <c r="B794" s="34" t="s">
        <v>985</v>
      </c>
      <c r="C794" s="18">
        <v>13539000000</v>
      </c>
      <c r="D794" s="32" t="s">
        <v>1959</v>
      </c>
      <c r="E794" s="5">
        <f>'ПДФО ГРОМАДИ'!M794</f>
        <v>0</v>
      </c>
      <c r="F794" s="5">
        <f>'ПДФО ГРОМАДИ'!N794</f>
        <v>27507.8</v>
      </c>
    </row>
    <row r="795" spans="1:6" ht="15.75" x14ac:dyDescent="0.25">
      <c r="A795" s="38">
        <v>13</v>
      </c>
      <c r="B795" s="34" t="s">
        <v>983</v>
      </c>
      <c r="C795" s="18">
        <v>13540000000</v>
      </c>
      <c r="D795" s="32" t="s">
        <v>1960</v>
      </c>
      <c r="E795" s="5">
        <f>'ПДФО ГРОМАДИ'!M795</f>
        <v>0</v>
      </c>
      <c r="F795" s="5">
        <f>'ПДФО ГРОМАДИ'!N795</f>
        <v>1074.8</v>
      </c>
    </row>
    <row r="796" spans="1:6" ht="15.75" x14ac:dyDescent="0.25">
      <c r="A796" s="38">
        <v>13</v>
      </c>
      <c r="B796" s="34" t="s">
        <v>983</v>
      </c>
      <c r="C796" s="30" t="s">
        <v>1961</v>
      </c>
      <c r="D796" s="32" t="s">
        <v>1962</v>
      </c>
      <c r="E796" s="5">
        <f>'ПДФО ГРОМАДИ'!M796</f>
        <v>0</v>
      </c>
      <c r="F796" s="5">
        <f>'ПДФО ГРОМАДИ'!N796</f>
        <v>2310.1</v>
      </c>
    </row>
    <row r="797" spans="1:6" ht="15.75" x14ac:dyDescent="0.25">
      <c r="A797" s="38">
        <v>13</v>
      </c>
      <c r="B797" s="34" t="s">
        <v>985</v>
      </c>
      <c r="C797" s="30" t="s">
        <v>1963</v>
      </c>
      <c r="D797" s="32" t="s">
        <v>1964</v>
      </c>
      <c r="E797" s="5">
        <f>'ПДФО ГРОМАДИ'!M797</f>
        <v>0</v>
      </c>
      <c r="F797" s="5">
        <f>'ПДФО ГРОМАДИ'!N797</f>
        <v>42095.8</v>
      </c>
    </row>
    <row r="798" spans="1:6" ht="15.75" x14ac:dyDescent="0.25">
      <c r="A798" s="38">
        <v>13</v>
      </c>
      <c r="B798" s="34" t="s">
        <v>986</v>
      </c>
      <c r="C798" s="30" t="s">
        <v>1965</v>
      </c>
      <c r="D798" s="32" t="s">
        <v>1966</v>
      </c>
      <c r="E798" s="5">
        <f>'ПДФО ГРОМАДИ'!M798</f>
        <v>0</v>
      </c>
      <c r="F798" s="5">
        <f>'ПДФО ГРОМАДИ'!N798</f>
        <v>22146.7</v>
      </c>
    </row>
    <row r="799" spans="1:6" ht="15.75" x14ac:dyDescent="0.25">
      <c r="A799" s="38">
        <v>13</v>
      </c>
      <c r="B799" s="34" t="s">
        <v>983</v>
      </c>
      <c r="C799" s="30" t="s">
        <v>1967</v>
      </c>
      <c r="D799" s="32" t="s">
        <v>2830</v>
      </c>
      <c r="E799" s="5">
        <f>'ПДФО ГРОМАДИ'!M799</f>
        <v>0</v>
      </c>
      <c r="F799" s="5">
        <f>'ПДФО ГРОМАДИ'!N799</f>
        <v>0</v>
      </c>
    </row>
    <row r="800" spans="1:6" ht="15.75" x14ac:dyDescent="0.25">
      <c r="A800" s="38">
        <v>13</v>
      </c>
      <c r="B800" s="34" t="s">
        <v>983</v>
      </c>
      <c r="C800" s="30" t="s">
        <v>1968</v>
      </c>
      <c r="D800" s="32" t="s">
        <v>1969</v>
      </c>
      <c r="E800" s="5">
        <f>'ПДФО ГРОМАДИ'!M800</f>
        <v>0</v>
      </c>
      <c r="F800" s="5">
        <f>'ПДФО ГРОМАДИ'!N800</f>
        <v>16439</v>
      </c>
    </row>
    <row r="801" spans="1:6" ht="15.75" x14ac:dyDescent="0.25">
      <c r="A801" s="38">
        <v>13</v>
      </c>
      <c r="B801" s="34" t="s">
        <v>983</v>
      </c>
      <c r="C801" s="30" t="s">
        <v>1970</v>
      </c>
      <c r="D801" s="32" t="s">
        <v>1971</v>
      </c>
      <c r="E801" s="5">
        <f>'ПДФО ГРОМАДИ'!M801</f>
        <v>0</v>
      </c>
      <c r="F801" s="5">
        <f>'ПДФО ГРОМАДИ'!N801</f>
        <v>10701.9</v>
      </c>
    </row>
    <row r="802" spans="1:6" ht="15.75" x14ac:dyDescent="0.25">
      <c r="A802" s="38">
        <v>13</v>
      </c>
      <c r="B802" s="34" t="s">
        <v>983</v>
      </c>
      <c r="C802" s="30" t="s">
        <v>1972</v>
      </c>
      <c r="D802" s="32" t="s">
        <v>1973</v>
      </c>
      <c r="E802" s="5">
        <f>'ПДФО ГРОМАДИ'!M802</f>
        <v>0</v>
      </c>
      <c r="F802" s="5">
        <f>'ПДФО ГРОМАДИ'!N802</f>
        <v>3122</v>
      </c>
    </row>
    <row r="803" spans="1:6" ht="15.75" x14ac:dyDescent="0.25">
      <c r="A803" s="38">
        <v>13</v>
      </c>
      <c r="B803" s="34" t="s">
        <v>984</v>
      </c>
      <c r="C803" s="30" t="s">
        <v>1974</v>
      </c>
      <c r="D803" s="32" t="s">
        <v>1975</v>
      </c>
      <c r="E803" s="5">
        <f>'ПДФО ГРОМАДИ'!M803</f>
        <v>0</v>
      </c>
      <c r="F803" s="5">
        <f>'ПДФО ГРОМАДИ'!N803</f>
        <v>14710</v>
      </c>
    </row>
    <row r="804" spans="1:6" ht="15.75" x14ac:dyDescent="0.25">
      <c r="A804" s="38">
        <v>13</v>
      </c>
      <c r="B804" s="34" t="s">
        <v>983</v>
      </c>
      <c r="C804" s="30" t="s">
        <v>1976</v>
      </c>
      <c r="D804" s="32" t="s">
        <v>1977</v>
      </c>
      <c r="E804" s="5">
        <f>'ПДФО ГРОМАДИ'!M804</f>
        <v>0</v>
      </c>
      <c r="F804" s="5">
        <f>'ПДФО ГРОМАДИ'!N804</f>
        <v>33909.599999999999</v>
      </c>
    </row>
    <row r="805" spans="1:6" ht="15.75" x14ac:dyDescent="0.25">
      <c r="A805" s="38">
        <v>13</v>
      </c>
      <c r="B805" s="34" t="s">
        <v>985</v>
      </c>
      <c r="C805" s="30" t="s">
        <v>1978</v>
      </c>
      <c r="D805" s="32" t="s">
        <v>1979</v>
      </c>
      <c r="E805" s="5">
        <f>'ПДФО ГРОМАДИ'!M805</f>
        <v>0</v>
      </c>
      <c r="F805" s="5">
        <f>'ПДФО ГРОМАДИ'!N805</f>
        <v>27891</v>
      </c>
    </row>
    <row r="806" spans="1:6" ht="15.75" x14ac:dyDescent="0.25">
      <c r="A806" s="38">
        <v>13</v>
      </c>
      <c r="B806" s="34" t="s">
        <v>985</v>
      </c>
      <c r="C806" s="30" t="s">
        <v>1980</v>
      </c>
      <c r="D806" s="32" t="s">
        <v>1981</v>
      </c>
      <c r="E806" s="5">
        <f>'ПДФО ГРОМАДИ'!M806</f>
        <v>0</v>
      </c>
      <c r="F806" s="5">
        <f>'ПДФО ГРОМАДИ'!N806</f>
        <v>0</v>
      </c>
    </row>
    <row r="807" spans="1:6" ht="15.75" x14ac:dyDescent="0.25">
      <c r="A807" s="38">
        <v>13</v>
      </c>
      <c r="B807" s="34" t="s">
        <v>986</v>
      </c>
      <c r="C807" s="30" t="s">
        <v>1982</v>
      </c>
      <c r="D807" s="32" t="s">
        <v>1983</v>
      </c>
      <c r="E807" s="5">
        <f>'ПДФО ГРОМАДИ'!M807</f>
        <v>0</v>
      </c>
      <c r="F807" s="5">
        <f>'ПДФО ГРОМАДИ'!N807</f>
        <v>110409.7</v>
      </c>
    </row>
    <row r="808" spans="1:6" ht="15.75" x14ac:dyDescent="0.25">
      <c r="A808" s="38">
        <v>13</v>
      </c>
      <c r="B808" s="34" t="s">
        <v>983</v>
      </c>
      <c r="C808" s="30" t="s">
        <v>1984</v>
      </c>
      <c r="D808" s="32" t="s">
        <v>1985</v>
      </c>
      <c r="E808" s="5">
        <f>'ПДФО ГРОМАДИ'!M808</f>
        <v>0</v>
      </c>
      <c r="F808" s="5">
        <f>'ПДФО ГРОМАДИ'!N808</f>
        <v>0</v>
      </c>
    </row>
    <row r="809" spans="1:6" ht="15.75" x14ac:dyDescent="0.25">
      <c r="A809" s="38">
        <v>13</v>
      </c>
      <c r="B809" s="34" t="s">
        <v>983</v>
      </c>
      <c r="C809" s="30" t="s">
        <v>1986</v>
      </c>
      <c r="D809" s="32" t="s">
        <v>1987</v>
      </c>
      <c r="E809" s="5">
        <f>'ПДФО ГРОМАДИ'!M809</f>
        <v>0</v>
      </c>
      <c r="F809" s="5">
        <f>'ПДФО ГРОМАДИ'!N809</f>
        <v>20076.5</v>
      </c>
    </row>
    <row r="810" spans="1:6" ht="15.75" x14ac:dyDescent="0.25">
      <c r="A810" s="38">
        <v>13</v>
      </c>
      <c r="B810" s="34" t="s">
        <v>985</v>
      </c>
      <c r="C810" s="30" t="s">
        <v>1988</v>
      </c>
      <c r="D810" s="32" t="s">
        <v>1989</v>
      </c>
      <c r="E810" s="5">
        <f>'ПДФО ГРОМАДИ'!M810</f>
        <v>0</v>
      </c>
      <c r="F810" s="5">
        <f>'ПДФО ГРОМАДИ'!N810</f>
        <v>20801.400000000001</v>
      </c>
    </row>
    <row r="811" spans="1:6" ht="15.75" x14ac:dyDescent="0.25">
      <c r="A811" s="38">
        <v>13</v>
      </c>
      <c r="B811" s="34" t="s">
        <v>983</v>
      </c>
      <c r="C811" s="30" t="s">
        <v>1990</v>
      </c>
      <c r="D811" s="32" t="s">
        <v>1991</v>
      </c>
      <c r="E811" s="5">
        <f>'ПДФО ГРОМАДИ'!M811</f>
        <v>0</v>
      </c>
      <c r="F811" s="5">
        <f>'ПДФО ГРОМАДИ'!N811</f>
        <v>10904.5</v>
      </c>
    </row>
    <row r="812" spans="1:6" ht="15.75" x14ac:dyDescent="0.25">
      <c r="A812" s="38">
        <v>13</v>
      </c>
      <c r="B812" s="34" t="s">
        <v>985</v>
      </c>
      <c r="C812" s="30" t="s">
        <v>1992</v>
      </c>
      <c r="D812" s="32" t="s">
        <v>1993</v>
      </c>
      <c r="E812" s="5">
        <f>'ПДФО ГРОМАДИ'!M812</f>
        <v>2535.1999999999998</v>
      </c>
      <c r="F812" s="5">
        <f>'ПДФО ГРОМАДИ'!N812</f>
        <v>0</v>
      </c>
    </row>
    <row r="813" spans="1:6" ht="15.75" x14ac:dyDescent="0.25">
      <c r="A813" s="38">
        <v>13</v>
      </c>
      <c r="B813" s="34" t="s">
        <v>984</v>
      </c>
      <c r="C813" s="30" t="s">
        <v>1994</v>
      </c>
      <c r="D813" s="32" t="s">
        <v>1995</v>
      </c>
      <c r="E813" s="5">
        <f>'ПДФО ГРОМАДИ'!M813</f>
        <v>0</v>
      </c>
      <c r="F813" s="5">
        <f>'ПДФО ГРОМАДИ'!N813</f>
        <v>16790.599999999999</v>
      </c>
    </row>
    <row r="814" spans="1:6" ht="15.75" x14ac:dyDescent="0.25">
      <c r="A814" s="38">
        <v>13</v>
      </c>
      <c r="B814" s="34" t="s">
        <v>983</v>
      </c>
      <c r="C814" s="30" t="s">
        <v>1996</v>
      </c>
      <c r="D814" s="32" t="s">
        <v>1997</v>
      </c>
      <c r="E814" s="5">
        <f>'ПДФО ГРОМАДИ'!M814</f>
        <v>0</v>
      </c>
      <c r="F814" s="5">
        <f>'ПДФО ГРОМАДИ'!N814</f>
        <v>16923.400000000001</v>
      </c>
    </row>
    <row r="815" spans="1:6" ht="15.75" x14ac:dyDescent="0.25">
      <c r="A815" s="38">
        <v>13</v>
      </c>
      <c r="B815" s="34" t="s">
        <v>985</v>
      </c>
      <c r="C815" s="30" t="s">
        <v>1998</v>
      </c>
      <c r="D815" s="32" t="s">
        <v>1999</v>
      </c>
      <c r="E815" s="5">
        <f>'ПДФО ГРОМАДИ'!M815</f>
        <v>0</v>
      </c>
      <c r="F815" s="5">
        <f>'ПДФО ГРОМАДИ'!N815</f>
        <v>20240.099999999999</v>
      </c>
    </row>
    <row r="816" spans="1:6" ht="15.75" x14ac:dyDescent="0.25">
      <c r="A816" s="38">
        <v>13</v>
      </c>
      <c r="B816" s="34" t="s">
        <v>985</v>
      </c>
      <c r="C816" s="30" t="s">
        <v>2000</v>
      </c>
      <c r="D816" s="32" t="s">
        <v>2001</v>
      </c>
      <c r="E816" s="5">
        <f>'ПДФО ГРОМАДИ'!M816</f>
        <v>0</v>
      </c>
      <c r="F816" s="5">
        <f>'ПДФО ГРОМАДИ'!N816</f>
        <v>14069.4</v>
      </c>
    </row>
    <row r="817" spans="1:6" ht="15.75" x14ac:dyDescent="0.25">
      <c r="A817" s="38">
        <v>13</v>
      </c>
      <c r="B817" s="34" t="s">
        <v>986</v>
      </c>
      <c r="C817" s="30" t="s">
        <v>2002</v>
      </c>
      <c r="D817" s="32" t="s">
        <v>2003</v>
      </c>
      <c r="E817" s="5">
        <f>'ПДФО ГРОМАДИ'!M817</f>
        <v>789340.4</v>
      </c>
      <c r="F817" s="5">
        <f>'ПДФО ГРОМАДИ'!N817</f>
        <v>0</v>
      </c>
    </row>
    <row r="818" spans="1:6" ht="15.75" x14ac:dyDescent="0.25">
      <c r="A818" s="38">
        <v>13</v>
      </c>
      <c r="B818" s="34" t="s">
        <v>983</v>
      </c>
      <c r="C818" s="30" t="s">
        <v>2004</v>
      </c>
      <c r="D818" s="32" t="s">
        <v>1328</v>
      </c>
      <c r="E818" s="5">
        <f>'ПДФО ГРОМАДИ'!M818</f>
        <v>0</v>
      </c>
      <c r="F818" s="5">
        <f>'ПДФО ГРОМАДИ'!N818</f>
        <v>29009.8</v>
      </c>
    </row>
    <row r="819" spans="1:6" ht="15.75" x14ac:dyDescent="0.25">
      <c r="A819" s="38">
        <v>13</v>
      </c>
      <c r="B819" s="34" t="s">
        <v>986</v>
      </c>
      <c r="C819" s="30" t="s">
        <v>2005</v>
      </c>
      <c r="D819" s="32" t="s">
        <v>2006</v>
      </c>
      <c r="E819" s="5">
        <f>'ПДФО ГРОМАДИ'!M819</f>
        <v>0</v>
      </c>
      <c r="F819" s="5">
        <f>'ПДФО ГРОМАДИ'!N819</f>
        <v>5761</v>
      </c>
    </row>
    <row r="820" spans="1:6" ht="15.75" x14ac:dyDescent="0.25">
      <c r="A820" s="38">
        <v>13</v>
      </c>
      <c r="B820" s="34" t="s">
        <v>986</v>
      </c>
      <c r="C820" s="30" t="s">
        <v>2007</v>
      </c>
      <c r="D820" s="32" t="s">
        <v>2008</v>
      </c>
      <c r="E820" s="5">
        <f>'ПДФО ГРОМАДИ'!M820</f>
        <v>0</v>
      </c>
      <c r="F820" s="5">
        <f>'ПДФО ГРОМАДИ'!N820</f>
        <v>31815.599999999999</v>
      </c>
    </row>
    <row r="821" spans="1:6" ht="15.75" x14ac:dyDescent="0.25">
      <c r="A821" s="38">
        <v>13</v>
      </c>
      <c r="B821" s="34" t="s">
        <v>983</v>
      </c>
      <c r="C821" s="30" t="s">
        <v>2009</v>
      </c>
      <c r="D821" s="32" t="s">
        <v>2010</v>
      </c>
      <c r="E821" s="5">
        <f>'ПДФО ГРОМАДИ'!M821</f>
        <v>0</v>
      </c>
      <c r="F821" s="5">
        <f>'ПДФО ГРОМАДИ'!N821</f>
        <v>1883.6</v>
      </c>
    </row>
    <row r="822" spans="1:6" ht="15.75" x14ac:dyDescent="0.25">
      <c r="A822" s="38">
        <v>13</v>
      </c>
      <c r="B822" s="34" t="s">
        <v>985</v>
      </c>
      <c r="C822" s="30" t="s">
        <v>2011</v>
      </c>
      <c r="D822" s="32" t="s">
        <v>2012</v>
      </c>
      <c r="E822" s="5">
        <f>'ПДФО ГРОМАДИ'!M822</f>
        <v>0</v>
      </c>
      <c r="F822" s="5">
        <f>'ПДФО ГРОМАДИ'!N822</f>
        <v>18023.7</v>
      </c>
    </row>
    <row r="823" spans="1:6" ht="15.75" x14ac:dyDescent="0.25">
      <c r="A823" s="38">
        <v>13</v>
      </c>
      <c r="B823" s="34" t="s">
        <v>984</v>
      </c>
      <c r="C823" s="30" t="s">
        <v>2013</v>
      </c>
      <c r="D823" s="32" t="s">
        <v>2014</v>
      </c>
      <c r="E823" s="5">
        <f>'ПДФО ГРОМАДИ'!M823</f>
        <v>1119.2</v>
      </c>
      <c r="F823" s="5">
        <f>'ПДФО ГРОМАДИ'!N823</f>
        <v>0</v>
      </c>
    </row>
    <row r="824" spans="1:6" ht="15.75" x14ac:dyDescent="0.25">
      <c r="A824" s="38">
        <v>13</v>
      </c>
      <c r="B824" s="34" t="s">
        <v>983</v>
      </c>
      <c r="C824" s="30" t="s">
        <v>2015</v>
      </c>
      <c r="D824" s="32" t="s">
        <v>2016</v>
      </c>
      <c r="E824" s="5">
        <f>'ПДФО ГРОМАДИ'!M824</f>
        <v>0</v>
      </c>
      <c r="F824" s="5">
        <f>'ПДФО ГРОМАДИ'!N824</f>
        <v>8293.9</v>
      </c>
    </row>
    <row r="825" spans="1:6" ht="15.75" x14ac:dyDescent="0.25">
      <c r="A825" s="38">
        <v>13</v>
      </c>
      <c r="B825" s="34" t="s">
        <v>985</v>
      </c>
      <c r="C825" s="30" t="s">
        <v>2017</v>
      </c>
      <c r="D825" s="32" t="s">
        <v>2018</v>
      </c>
      <c r="E825" s="5">
        <f>'ПДФО ГРОМАДИ'!M825</f>
        <v>0</v>
      </c>
      <c r="F825" s="5">
        <f>'ПДФО ГРОМАДИ'!N825</f>
        <v>17516.5</v>
      </c>
    </row>
    <row r="826" spans="1:6" ht="15.75" x14ac:dyDescent="0.25">
      <c r="A826" s="38">
        <v>13</v>
      </c>
      <c r="B826" s="34" t="s">
        <v>985</v>
      </c>
      <c r="C826" s="30" t="s">
        <v>2019</v>
      </c>
      <c r="D826" s="32" t="s">
        <v>2020</v>
      </c>
      <c r="E826" s="5">
        <f>'ПДФО ГРОМАДИ'!M826</f>
        <v>0</v>
      </c>
      <c r="F826" s="5">
        <f>'ПДФО ГРОМАДИ'!N826</f>
        <v>12026.2</v>
      </c>
    </row>
    <row r="827" spans="1:6" ht="15.75" x14ac:dyDescent="0.25">
      <c r="A827" s="38">
        <v>13</v>
      </c>
      <c r="B827" s="34" t="s">
        <v>983</v>
      </c>
      <c r="C827" s="30" t="s">
        <v>2021</v>
      </c>
      <c r="D827" s="32" t="s">
        <v>2022</v>
      </c>
      <c r="E827" s="5">
        <f>'ПДФО ГРОМАДИ'!M827</f>
        <v>7053.7</v>
      </c>
      <c r="F827" s="5">
        <f>'ПДФО ГРОМАДИ'!N827</f>
        <v>0</v>
      </c>
    </row>
    <row r="828" spans="1:6" ht="15.75" x14ac:dyDescent="0.25">
      <c r="A828" s="38">
        <v>13</v>
      </c>
      <c r="B828" s="34" t="s">
        <v>983</v>
      </c>
      <c r="C828" s="30" t="s">
        <v>2023</v>
      </c>
      <c r="D828" s="32" t="s">
        <v>2024</v>
      </c>
      <c r="E828" s="5">
        <f>'ПДФО ГРОМАДИ'!M828</f>
        <v>0</v>
      </c>
      <c r="F828" s="5">
        <f>'ПДФО ГРОМАДИ'!N828</f>
        <v>30731.8</v>
      </c>
    </row>
    <row r="829" spans="1:6" ht="15.75" x14ac:dyDescent="0.25">
      <c r="A829" s="38">
        <v>13</v>
      </c>
      <c r="B829" s="34" t="s">
        <v>984</v>
      </c>
      <c r="C829" s="30" t="s">
        <v>2025</v>
      </c>
      <c r="D829" s="32" t="s">
        <v>2026</v>
      </c>
      <c r="E829" s="5">
        <f>'ПДФО ГРОМАДИ'!M829</f>
        <v>0</v>
      </c>
      <c r="F829" s="5">
        <f>'ПДФО ГРОМАДИ'!N829</f>
        <v>21913.200000000001</v>
      </c>
    </row>
    <row r="830" spans="1:6" ht="15.75" x14ac:dyDescent="0.25">
      <c r="A830" s="38">
        <v>13</v>
      </c>
      <c r="B830" s="34" t="s">
        <v>986</v>
      </c>
      <c r="C830" s="30" t="s">
        <v>2027</v>
      </c>
      <c r="D830" s="32" t="s">
        <v>2028</v>
      </c>
      <c r="E830" s="5">
        <f>'ПДФО ГРОМАДИ'!M830</f>
        <v>0</v>
      </c>
      <c r="F830" s="5">
        <f>'ПДФО ГРОМАДИ'!N830</f>
        <v>0</v>
      </c>
    </row>
    <row r="831" spans="1:6" ht="15.75" x14ac:dyDescent="0.25">
      <c r="A831" s="38">
        <v>13</v>
      </c>
      <c r="B831" s="34" t="s">
        <v>983</v>
      </c>
      <c r="C831" s="30" t="s">
        <v>2029</v>
      </c>
      <c r="D831" s="32" t="s">
        <v>2030</v>
      </c>
      <c r="E831" s="5">
        <f>'ПДФО ГРОМАДИ'!M831</f>
        <v>0</v>
      </c>
      <c r="F831" s="5">
        <f>'ПДФО ГРОМАДИ'!N831</f>
        <v>15118.8</v>
      </c>
    </row>
    <row r="832" spans="1:6" ht="15.75" x14ac:dyDescent="0.25">
      <c r="A832" s="38">
        <v>13</v>
      </c>
      <c r="B832" s="34" t="s">
        <v>983</v>
      </c>
      <c r="C832" s="30" t="s">
        <v>2031</v>
      </c>
      <c r="D832" s="32" t="s">
        <v>2032</v>
      </c>
      <c r="E832" s="5">
        <f>'ПДФО ГРОМАДИ'!M832</f>
        <v>0</v>
      </c>
      <c r="F832" s="5">
        <f>'ПДФО ГРОМАДИ'!N832</f>
        <v>26244.2</v>
      </c>
    </row>
    <row r="833" spans="1:6" ht="15.75" x14ac:dyDescent="0.25">
      <c r="A833" s="38">
        <v>13</v>
      </c>
      <c r="B833" s="34" t="s">
        <v>984</v>
      </c>
      <c r="C833" s="30" t="s">
        <v>2033</v>
      </c>
      <c r="D833" s="32" t="s">
        <v>2034</v>
      </c>
      <c r="E833" s="5">
        <f>'ПДФО ГРОМАДИ'!M833</f>
        <v>16397.400000000001</v>
      </c>
      <c r="F833" s="5">
        <f>'ПДФО ГРОМАДИ'!N833</f>
        <v>0</v>
      </c>
    </row>
    <row r="834" spans="1:6" ht="15.75" x14ac:dyDescent="0.25">
      <c r="A834" s="38">
        <v>13</v>
      </c>
      <c r="B834" s="34" t="s">
        <v>983</v>
      </c>
      <c r="C834" s="30" t="s">
        <v>2035</v>
      </c>
      <c r="D834" s="32" t="s">
        <v>2036</v>
      </c>
      <c r="E834" s="5">
        <f>'ПДФО ГРОМАДИ'!M834</f>
        <v>0</v>
      </c>
      <c r="F834" s="5">
        <f>'ПДФО ГРОМАДИ'!N834</f>
        <v>19462.099999999999</v>
      </c>
    </row>
    <row r="835" spans="1:6" ht="15.75" x14ac:dyDescent="0.25">
      <c r="A835" s="38">
        <v>13</v>
      </c>
      <c r="B835" s="34" t="s">
        <v>986</v>
      </c>
      <c r="C835" s="30" t="s">
        <v>2037</v>
      </c>
      <c r="D835" s="32" t="s">
        <v>2038</v>
      </c>
      <c r="E835" s="5">
        <f>'ПДФО ГРОМАДИ'!M835</f>
        <v>1876</v>
      </c>
      <c r="F835" s="5">
        <f>'ПДФО ГРОМАДИ'!N835</f>
        <v>0</v>
      </c>
    </row>
    <row r="836" spans="1:6" ht="15.75" x14ac:dyDescent="0.25">
      <c r="A836" s="38">
        <v>13</v>
      </c>
      <c r="B836" s="34" t="s">
        <v>984</v>
      </c>
      <c r="C836" s="30" t="s">
        <v>2039</v>
      </c>
      <c r="D836" s="32" t="s">
        <v>2040</v>
      </c>
      <c r="E836" s="5">
        <f>'ПДФО ГРОМАДИ'!M836</f>
        <v>0</v>
      </c>
      <c r="F836" s="5">
        <f>'ПДФО ГРОМАДИ'!N836</f>
        <v>28190.2</v>
      </c>
    </row>
    <row r="837" spans="1:6" ht="15.75" x14ac:dyDescent="0.25">
      <c r="A837" s="38">
        <v>13</v>
      </c>
      <c r="B837" s="34" t="s">
        <v>985</v>
      </c>
      <c r="C837" s="30" t="s">
        <v>2041</v>
      </c>
      <c r="D837" s="32" t="s">
        <v>2042</v>
      </c>
      <c r="E837" s="5">
        <f>'ПДФО ГРОМАДИ'!M837</f>
        <v>0</v>
      </c>
      <c r="F837" s="5">
        <f>'ПДФО ГРОМАДИ'!N837</f>
        <v>27373.5</v>
      </c>
    </row>
    <row r="838" spans="1:6" ht="15.75" x14ac:dyDescent="0.25">
      <c r="A838" s="38">
        <v>13</v>
      </c>
      <c r="B838" s="34" t="s">
        <v>986</v>
      </c>
      <c r="C838" s="30" t="s">
        <v>2043</v>
      </c>
      <c r="D838" s="32" t="s">
        <v>2044</v>
      </c>
      <c r="E838" s="5">
        <f>'ПДФО ГРОМАДИ'!M838</f>
        <v>0</v>
      </c>
      <c r="F838" s="5">
        <f>'ПДФО ГРОМАДИ'!N838</f>
        <v>30839.8</v>
      </c>
    </row>
    <row r="839" spans="1:6" ht="15.75" x14ac:dyDescent="0.25">
      <c r="A839" s="38">
        <v>13</v>
      </c>
      <c r="B839" s="34" t="s">
        <v>983</v>
      </c>
      <c r="C839" s="30" t="s">
        <v>2045</v>
      </c>
      <c r="D839" s="32" t="s">
        <v>2046</v>
      </c>
      <c r="E839" s="5">
        <f>'ПДФО ГРОМАДИ'!M839</f>
        <v>0</v>
      </c>
      <c r="F839" s="5">
        <f>'ПДФО ГРОМАДИ'!N839</f>
        <v>27410.400000000001</v>
      </c>
    </row>
    <row r="840" spans="1:6" ht="15.75" x14ac:dyDescent="0.25">
      <c r="A840" s="38">
        <v>13</v>
      </c>
      <c r="B840" s="34" t="s">
        <v>983</v>
      </c>
      <c r="C840" s="30" t="s">
        <v>2047</v>
      </c>
      <c r="D840" s="32" t="s">
        <v>2048</v>
      </c>
      <c r="E840" s="5">
        <f>'ПДФО ГРОМАДИ'!M840</f>
        <v>0</v>
      </c>
      <c r="F840" s="5">
        <f>'ПДФО ГРОМАДИ'!N840</f>
        <v>26956.9</v>
      </c>
    </row>
    <row r="841" spans="1:6" ht="15.75" x14ac:dyDescent="0.25">
      <c r="A841" s="38">
        <v>13</v>
      </c>
      <c r="B841" s="34" t="s">
        <v>986</v>
      </c>
      <c r="C841" s="30" t="s">
        <v>2049</v>
      </c>
      <c r="D841" s="32" t="s">
        <v>2050</v>
      </c>
      <c r="E841" s="5">
        <f>'ПДФО ГРОМАДИ'!M841</f>
        <v>0</v>
      </c>
      <c r="F841" s="5">
        <f>'ПДФО ГРОМАДИ'!N841</f>
        <v>0</v>
      </c>
    </row>
    <row r="842" spans="1:6" ht="15.75" x14ac:dyDescent="0.25">
      <c r="A842" s="38">
        <v>13</v>
      </c>
      <c r="B842" s="34" t="s">
        <v>983</v>
      </c>
      <c r="C842" s="30" t="s">
        <v>2051</v>
      </c>
      <c r="D842" s="32" t="s">
        <v>2052</v>
      </c>
      <c r="E842" s="5">
        <f>'ПДФО ГРОМАДИ'!M842</f>
        <v>0</v>
      </c>
      <c r="F842" s="5">
        <f>'ПДФО ГРОМАДИ'!N842</f>
        <v>0</v>
      </c>
    </row>
    <row r="843" spans="1:6" ht="15.75" x14ac:dyDescent="0.25">
      <c r="A843" s="36">
        <v>14</v>
      </c>
      <c r="B843" s="17" t="s">
        <v>7</v>
      </c>
      <c r="C843" s="17" t="s">
        <v>793</v>
      </c>
      <c r="D843" s="11" t="s">
        <v>982</v>
      </c>
      <c r="E843" s="11">
        <f>E844+E845+E850</f>
        <v>314991.8</v>
      </c>
      <c r="F843" s="11">
        <f>F844+F845+F850</f>
        <v>346383.20000000007</v>
      </c>
    </row>
    <row r="844" spans="1:6" ht="15.75" x14ac:dyDescent="0.25">
      <c r="A844" s="38">
        <v>14</v>
      </c>
      <c r="B844" s="34" t="s">
        <v>6</v>
      </c>
      <c r="C844" s="18" t="s">
        <v>128</v>
      </c>
      <c r="D844" s="32" t="s">
        <v>852</v>
      </c>
      <c r="E844" s="5">
        <f>'ПДФО ОБЛАСНІ'!K16+'ПОДАТОК НА ПРИБУТОК'!K16</f>
        <v>0</v>
      </c>
      <c r="F844" s="5">
        <f>'ПДФО ОБЛАСНІ'!L16+'ПОДАТОК НА ПРИБУТОК'!L16</f>
        <v>3579.3</v>
      </c>
    </row>
    <row r="845" spans="1:6" ht="15.75" x14ac:dyDescent="0.25">
      <c r="A845" s="37">
        <v>14</v>
      </c>
      <c r="B845" s="19" t="s">
        <v>5</v>
      </c>
      <c r="C845" s="19" t="s">
        <v>794</v>
      </c>
      <c r="D845" s="7" t="s">
        <v>2806</v>
      </c>
      <c r="E845" s="7">
        <f>SUM(E846:E849)</f>
        <v>0</v>
      </c>
      <c r="F845" s="7">
        <f>SUM(F846:F849)</f>
        <v>0</v>
      </c>
    </row>
    <row r="846" spans="1:6" ht="15.75" x14ac:dyDescent="0.25">
      <c r="A846" s="38">
        <v>14</v>
      </c>
      <c r="B846" s="34" t="s">
        <v>4</v>
      </c>
      <c r="C846" s="18" t="s">
        <v>129</v>
      </c>
      <c r="D846" s="32" t="s">
        <v>930</v>
      </c>
      <c r="E846" s="5">
        <f>'ПДФО ГРОМАДИ'!M846</f>
        <v>0</v>
      </c>
      <c r="F846" s="5">
        <f>'ПДФО ГРОМАДИ'!N846</f>
        <v>0</v>
      </c>
    </row>
    <row r="847" spans="1:6" ht="15.75" x14ac:dyDescent="0.25">
      <c r="A847" s="38">
        <v>14</v>
      </c>
      <c r="B847" s="34" t="s">
        <v>4</v>
      </c>
      <c r="C847" s="18" t="s">
        <v>130</v>
      </c>
      <c r="D847" s="32" t="s">
        <v>931</v>
      </c>
      <c r="E847" s="5">
        <f>'ПДФО ГРОМАДИ'!M847</f>
        <v>0</v>
      </c>
      <c r="F847" s="5">
        <f>'ПДФО ГРОМАДИ'!N847</f>
        <v>0</v>
      </c>
    </row>
    <row r="848" spans="1:6" ht="15.75" x14ac:dyDescent="0.25">
      <c r="A848" s="38">
        <v>14</v>
      </c>
      <c r="B848" s="34" t="s">
        <v>4</v>
      </c>
      <c r="C848" s="18" t="s">
        <v>131</v>
      </c>
      <c r="D848" s="32" t="s">
        <v>926</v>
      </c>
      <c r="E848" s="5">
        <f>'ПДФО ГРОМАДИ'!M848</f>
        <v>0</v>
      </c>
      <c r="F848" s="5">
        <f>'ПДФО ГРОМАДИ'!N848</f>
        <v>0</v>
      </c>
    </row>
    <row r="849" spans="1:6" ht="15.75" x14ac:dyDescent="0.25">
      <c r="A849" s="38">
        <v>14</v>
      </c>
      <c r="B849" s="34" t="s">
        <v>4</v>
      </c>
      <c r="C849" s="18" t="s">
        <v>132</v>
      </c>
      <c r="D849" s="32" t="s">
        <v>932</v>
      </c>
      <c r="E849" s="5">
        <f>'ПДФО ГРОМАДИ'!M849</f>
        <v>0</v>
      </c>
      <c r="F849" s="5">
        <f>'ПДФО ГРОМАДИ'!N849</f>
        <v>0</v>
      </c>
    </row>
    <row r="850" spans="1:6" ht="15.75" x14ac:dyDescent="0.25">
      <c r="A850" s="37">
        <v>14</v>
      </c>
      <c r="B850" s="19" t="s">
        <v>28</v>
      </c>
      <c r="C850" s="19" t="s">
        <v>795</v>
      </c>
      <c r="D850" s="20" t="s">
        <v>2780</v>
      </c>
      <c r="E850" s="7">
        <f>SUM(E851:E902)</f>
        <v>314991.8</v>
      </c>
      <c r="F850" s="7">
        <f>SUM(F851:F902)</f>
        <v>342803.90000000008</v>
      </c>
    </row>
    <row r="851" spans="1:6" ht="15.75" x14ac:dyDescent="0.25">
      <c r="A851" s="38">
        <v>14</v>
      </c>
      <c r="B851" s="34" t="s">
        <v>984</v>
      </c>
      <c r="C851" s="18" t="s">
        <v>238</v>
      </c>
      <c r="D851" s="81" t="s">
        <v>2053</v>
      </c>
      <c r="E851" s="5">
        <f>'ПДФО ГРОМАДИ'!M851</f>
        <v>0</v>
      </c>
      <c r="F851" s="5">
        <f>'ПДФО ГРОМАДИ'!N851</f>
        <v>5512</v>
      </c>
    </row>
    <row r="852" spans="1:6" ht="15.75" x14ac:dyDescent="0.25">
      <c r="A852" s="38">
        <v>14</v>
      </c>
      <c r="B852" s="34" t="s">
        <v>983</v>
      </c>
      <c r="C852" s="18" t="s">
        <v>384</v>
      </c>
      <c r="D852" s="32" t="s">
        <v>2054</v>
      </c>
      <c r="E852" s="5">
        <f>'ПДФО ГРОМАДИ'!M852</f>
        <v>0</v>
      </c>
      <c r="F852" s="5">
        <f>'ПДФО ГРОМАДИ'!N852</f>
        <v>8592</v>
      </c>
    </row>
    <row r="853" spans="1:6" ht="15.75" x14ac:dyDescent="0.25">
      <c r="A853" s="38">
        <v>14</v>
      </c>
      <c r="B853" s="34" t="s">
        <v>985</v>
      </c>
      <c r="C853" s="18" t="s">
        <v>385</v>
      </c>
      <c r="D853" s="32" t="s">
        <v>1334</v>
      </c>
      <c r="E853" s="5">
        <f>'ПДФО ГРОМАДИ'!M853</f>
        <v>0</v>
      </c>
      <c r="F853" s="5">
        <f>'ПДФО ГРОМАДИ'!N853</f>
        <v>9740.5</v>
      </c>
    </row>
    <row r="854" spans="1:6" ht="15.75" x14ac:dyDescent="0.25">
      <c r="A854" s="38">
        <v>14</v>
      </c>
      <c r="B854" s="34" t="s">
        <v>985</v>
      </c>
      <c r="C854" s="18" t="s">
        <v>386</v>
      </c>
      <c r="D854" s="32" t="s">
        <v>2055</v>
      </c>
      <c r="E854" s="5">
        <f>'ПДФО ГРОМАДИ'!M854</f>
        <v>0</v>
      </c>
      <c r="F854" s="5">
        <f>'ПДФО ГРОМАДИ'!N854</f>
        <v>16575.400000000001</v>
      </c>
    </row>
    <row r="855" spans="1:6" ht="15.75" x14ac:dyDescent="0.25">
      <c r="A855" s="38">
        <v>14</v>
      </c>
      <c r="B855" s="34" t="s">
        <v>985</v>
      </c>
      <c r="C855" s="18" t="s">
        <v>387</v>
      </c>
      <c r="D855" s="32" t="s">
        <v>2056</v>
      </c>
      <c r="E855" s="5">
        <f>'ПДФО ГРОМАДИ'!M855</f>
        <v>0</v>
      </c>
      <c r="F855" s="5">
        <f>'ПДФО ГРОМАДИ'!N855</f>
        <v>23433.7</v>
      </c>
    </row>
    <row r="856" spans="1:6" ht="15.75" x14ac:dyDescent="0.25">
      <c r="A856" s="38">
        <v>14</v>
      </c>
      <c r="B856" s="34" t="s">
        <v>985</v>
      </c>
      <c r="C856" s="18" t="s">
        <v>388</v>
      </c>
      <c r="D856" s="32" t="s">
        <v>2057</v>
      </c>
      <c r="E856" s="5">
        <f>'ПДФО ГРОМАДИ'!M856</f>
        <v>0</v>
      </c>
      <c r="F856" s="5">
        <f>'ПДФО ГРОМАДИ'!N856</f>
        <v>14536</v>
      </c>
    </row>
    <row r="857" spans="1:6" ht="15.75" x14ac:dyDescent="0.25">
      <c r="A857" s="38">
        <v>14</v>
      </c>
      <c r="B857" s="34" t="s">
        <v>985</v>
      </c>
      <c r="C857" s="18" t="s">
        <v>389</v>
      </c>
      <c r="D857" s="32" t="s">
        <v>2058</v>
      </c>
      <c r="E857" s="5">
        <f>'ПДФО ГРОМАДИ'!M857</f>
        <v>0</v>
      </c>
      <c r="F857" s="5">
        <f>'ПДФО ГРОМАДИ'!N857</f>
        <v>4611.3</v>
      </c>
    </row>
    <row r="858" spans="1:6" ht="15.75" x14ac:dyDescent="0.25">
      <c r="A858" s="38">
        <v>14</v>
      </c>
      <c r="B858" s="34" t="s">
        <v>984</v>
      </c>
      <c r="C858" s="18" t="s">
        <v>390</v>
      </c>
      <c r="D858" s="32" t="s">
        <v>2059</v>
      </c>
      <c r="E858" s="5">
        <f>'ПДФО ГРОМАДИ'!M858</f>
        <v>0</v>
      </c>
      <c r="F858" s="5">
        <f>'ПДФО ГРОМАДИ'!N858</f>
        <v>0</v>
      </c>
    </row>
    <row r="859" spans="1:6" ht="15.75" x14ac:dyDescent="0.25">
      <c r="A859" s="38">
        <v>14</v>
      </c>
      <c r="B859" s="34" t="s">
        <v>984</v>
      </c>
      <c r="C859" s="18" t="s">
        <v>391</v>
      </c>
      <c r="D859" s="32" t="s">
        <v>2060</v>
      </c>
      <c r="E859" s="5">
        <f>'ПДФО ГРОМАДИ'!M859</f>
        <v>0</v>
      </c>
      <c r="F859" s="5">
        <f>'ПДФО ГРОМАДИ'!N859</f>
        <v>5180.3</v>
      </c>
    </row>
    <row r="860" spans="1:6" ht="15.75" x14ac:dyDescent="0.25">
      <c r="A860" s="38">
        <v>14</v>
      </c>
      <c r="B860" s="34" t="s">
        <v>984</v>
      </c>
      <c r="C860" s="18" t="s">
        <v>392</v>
      </c>
      <c r="D860" s="32" t="s">
        <v>2061</v>
      </c>
      <c r="E860" s="5">
        <f>'ПДФО ГРОМАДИ'!M860</f>
        <v>2816.3</v>
      </c>
      <c r="F860" s="5">
        <f>'ПДФО ГРОМАДИ'!N860</f>
        <v>0</v>
      </c>
    </row>
    <row r="861" spans="1:6" ht="15.75" x14ac:dyDescent="0.25">
      <c r="A861" s="38">
        <v>14</v>
      </c>
      <c r="B861" s="34" t="s">
        <v>984</v>
      </c>
      <c r="C861" s="18" t="s">
        <v>393</v>
      </c>
      <c r="D861" s="32" t="s">
        <v>2062</v>
      </c>
      <c r="E861" s="5">
        <f>'ПДФО ГРОМАДИ'!M861</f>
        <v>0</v>
      </c>
      <c r="F861" s="5">
        <f>'ПДФО ГРОМАДИ'!N861</f>
        <v>0</v>
      </c>
    </row>
    <row r="862" spans="1:6" ht="15.75" x14ac:dyDescent="0.25">
      <c r="A862" s="38">
        <v>14</v>
      </c>
      <c r="B862" s="34" t="s">
        <v>984</v>
      </c>
      <c r="C862" s="18" t="s">
        <v>394</v>
      </c>
      <c r="D862" s="32" t="s">
        <v>2063</v>
      </c>
      <c r="E862" s="5">
        <f>'ПДФО ГРОМАДИ'!M862</f>
        <v>36363.4</v>
      </c>
      <c r="F862" s="5">
        <f>'ПДФО ГРОМАДИ'!N862</f>
        <v>0</v>
      </c>
    </row>
    <row r="863" spans="1:6" ht="15.75" x14ac:dyDescent="0.25">
      <c r="A863" s="38">
        <v>14</v>
      </c>
      <c r="B863" s="34" t="s">
        <v>984</v>
      </c>
      <c r="C863" s="18" t="s">
        <v>395</v>
      </c>
      <c r="D863" s="32" t="s">
        <v>2064</v>
      </c>
      <c r="E863" s="5">
        <f>'ПДФО ГРОМАДИ'!M863</f>
        <v>0</v>
      </c>
      <c r="F863" s="5">
        <f>'ПДФО ГРОМАДИ'!N863</f>
        <v>0</v>
      </c>
    </row>
    <row r="864" spans="1:6" ht="15.75" x14ac:dyDescent="0.25">
      <c r="A864" s="38">
        <v>14</v>
      </c>
      <c r="B864" s="34" t="s">
        <v>984</v>
      </c>
      <c r="C864" s="18" t="s">
        <v>396</v>
      </c>
      <c r="D864" s="32" t="s">
        <v>2065</v>
      </c>
      <c r="E864" s="5">
        <f>'ПДФО ГРОМАДИ'!M864</f>
        <v>0</v>
      </c>
      <c r="F864" s="5">
        <f>'ПДФО ГРОМАДИ'!N864</f>
        <v>2471.6999999999998</v>
      </c>
    </row>
    <row r="865" spans="1:6" ht="15.75" x14ac:dyDescent="0.25">
      <c r="A865" s="38">
        <v>14</v>
      </c>
      <c r="B865" s="34" t="s">
        <v>984</v>
      </c>
      <c r="C865" s="18" t="s">
        <v>397</v>
      </c>
      <c r="D865" s="32" t="s">
        <v>2066</v>
      </c>
      <c r="E865" s="5">
        <f>'ПДФО ГРОМАДИ'!M865</f>
        <v>0</v>
      </c>
      <c r="F865" s="5">
        <f>'ПДФО ГРОМАДИ'!N865</f>
        <v>4269.8999999999996</v>
      </c>
    </row>
    <row r="866" spans="1:6" ht="15.75" x14ac:dyDescent="0.25">
      <c r="A866" s="38">
        <v>14</v>
      </c>
      <c r="B866" s="34" t="s">
        <v>984</v>
      </c>
      <c r="C866" s="18" t="s">
        <v>398</v>
      </c>
      <c r="D866" s="32" t="s">
        <v>2067</v>
      </c>
      <c r="E866" s="5">
        <f>'ПДФО ГРОМАДИ'!M866</f>
        <v>0</v>
      </c>
      <c r="F866" s="5">
        <f>'ПДФО ГРОМАДИ'!N866</f>
        <v>7021.3</v>
      </c>
    </row>
    <row r="867" spans="1:6" ht="15.75" x14ac:dyDescent="0.25">
      <c r="A867" s="38">
        <v>14</v>
      </c>
      <c r="B867" s="34" t="s">
        <v>984</v>
      </c>
      <c r="C867" s="18" t="s">
        <v>399</v>
      </c>
      <c r="D867" s="32" t="s">
        <v>2068</v>
      </c>
      <c r="E867" s="5">
        <f>'ПДФО ГРОМАДИ'!M867</f>
        <v>0</v>
      </c>
      <c r="F867" s="5">
        <f>'ПДФО ГРОМАДИ'!N867</f>
        <v>5237.5</v>
      </c>
    </row>
    <row r="868" spans="1:6" ht="15.75" x14ac:dyDescent="0.25">
      <c r="A868" s="38">
        <v>14</v>
      </c>
      <c r="B868" s="34" t="s">
        <v>984</v>
      </c>
      <c r="C868" s="18" t="s">
        <v>400</v>
      </c>
      <c r="D868" s="32" t="s">
        <v>2069</v>
      </c>
      <c r="E868" s="5">
        <f>'ПДФО ГРОМАДИ'!M868</f>
        <v>0</v>
      </c>
      <c r="F868" s="5">
        <f>'ПДФО ГРОМАДИ'!N868</f>
        <v>0</v>
      </c>
    </row>
    <row r="869" spans="1:6" ht="15.75" x14ac:dyDescent="0.25">
      <c r="A869" s="38">
        <v>14</v>
      </c>
      <c r="B869" s="34" t="s">
        <v>984</v>
      </c>
      <c r="C869" s="18" t="s">
        <v>490</v>
      </c>
      <c r="D869" s="32" t="s">
        <v>2070</v>
      </c>
      <c r="E869" s="5">
        <f>'ПДФО ГРОМАДИ'!M869</f>
        <v>0</v>
      </c>
      <c r="F869" s="5">
        <f>'ПДФО ГРОМАДИ'!N869</f>
        <v>6742.1</v>
      </c>
    </row>
    <row r="870" spans="1:6" ht="15.75" x14ac:dyDescent="0.25">
      <c r="A870" s="38">
        <v>14</v>
      </c>
      <c r="B870" s="34" t="s">
        <v>985</v>
      </c>
      <c r="C870" s="18" t="s">
        <v>699</v>
      </c>
      <c r="D870" s="32" t="s">
        <v>2071</v>
      </c>
      <c r="E870" s="5">
        <f>'ПДФО ГРОМАДИ'!M870</f>
        <v>0</v>
      </c>
      <c r="F870" s="5">
        <f>'ПДФО ГРОМАДИ'!N870</f>
        <v>8120.5</v>
      </c>
    </row>
    <row r="871" spans="1:6" ht="15.75" x14ac:dyDescent="0.25">
      <c r="A871" s="38">
        <v>14</v>
      </c>
      <c r="B871" s="34" t="s">
        <v>984</v>
      </c>
      <c r="C871" s="18" t="s">
        <v>700</v>
      </c>
      <c r="D871" s="32" t="s">
        <v>2072</v>
      </c>
      <c r="E871" s="5">
        <f>'ПДФО ГРОМАДИ'!M871</f>
        <v>0</v>
      </c>
      <c r="F871" s="5">
        <f>'ПДФО ГРОМАДИ'!N871</f>
        <v>5025.3999999999996</v>
      </c>
    </row>
    <row r="872" spans="1:6" ht="15.75" x14ac:dyDescent="0.25">
      <c r="A872" s="38">
        <v>14</v>
      </c>
      <c r="B872" s="34" t="s">
        <v>984</v>
      </c>
      <c r="C872" s="18" t="s">
        <v>701</v>
      </c>
      <c r="D872" s="32" t="s">
        <v>2073</v>
      </c>
      <c r="E872" s="5">
        <f>'ПДФО ГРОМАДИ'!M872</f>
        <v>0</v>
      </c>
      <c r="F872" s="5">
        <f>'ПДФО ГРОМАДИ'!N872</f>
        <v>960.7</v>
      </c>
    </row>
    <row r="873" spans="1:6" ht="15.75" x14ac:dyDescent="0.25">
      <c r="A873" s="38">
        <v>14</v>
      </c>
      <c r="B873" s="34" t="s">
        <v>985</v>
      </c>
      <c r="C873" s="18" t="s">
        <v>702</v>
      </c>
      <c r="D873" s="32" t="s">
        <v>2074</v>
      </c>
      <c r="E873" s="5">
        <f>'ПДФО ГРОМАДИ'!M873</f>
        <v>0</v>
      </c>
      <c r="F873" s="5">
        <f>'ПДФО ГРОМАДИ'!N873</f>
        <v>6202.7</v>
      </c>
    </row>
    <row r="874" spans="1:6" ht="15.75" x14ac:dyDescent="0.25">
      <c r="A874" s="38">
        <v>14</v>
      </c>
      <c r="B874" s="34" t="s">
        <v>984</v>
      </c>
      <c r="C874" s="18" t="s">
        <v>703</v>
      </c>
      <c r="D874" s="32" t="s">
        <v>1618</v>
      </c>
      <c r="E874" s="5">
        <f>'ПДФО ГРОМАДИ'!M874</f>
        <v>0</v>
      </c>
      <c r="F874" s="5">
        <f>'ПДФО ГРОМАДИ'!N874</f>
        <v>0</v>
      </c>
    </row>
    <row r="875" spans="1:6" ht="15.75" x14ac:dyDescent="0.25">
      <c r="A875" s="38">
        <v>14</v>
      </c>
      <c r="B875" s="34" t="s">
        <v>984</v>
      </c>
      <c r="C875" s="18" t="s">
        <v>704</v>
      </c>
      <c r="D875" s="32" t="s">
        <v>2075</v>
      </c>
      <c r="E875" s="5">
        <f>'ПДФО ГРОМАДИ'!M875</f>
        <v>0</v>
      </c>
      <c r="F875" s="5">
        <f>'ПДФО ГРОМАДИ'!N875</f>
        <v>268.3</v>
      </c>
    </row>
    <row r="876" spans="1:6" ht="15.75" x14ac:dyDescent="0.25">
      <c r="A876" s="38">
        <v>14</v>
      </c>
      <c r="B876" s="34" t="s">
        <v>985</v>
      </c>
      <c r="C876" s="18" t="s">
        <v>705</v>
      </c>
      <c r="D876" s="32" t="s">
        <v>2076</v>
      </c>
      <c r="E876" s="5">
        <f>'ПДФО ГРОМАДИ'!M876</f>
        <v>0</v>
      </c>
      <c r="F876" s="5">
        <f>'ПДФО ГРОМАДИ'!N876</f>
        <v>4486.1000000000004</v>
      </c>
    </row>
    <row r="877" spans="1:6" ht="15.75" x14ac:dyDescent="0.25">
      <c r="A877" s="38">
        <v>14</v>
      </c>
      <c r="B877" s="34" t="s">
        <v>986</v>
      </c>
      <c r="C877" s="18">
        <v>14529000000</v>
      </c>
      <c r="D877" s="32" t="s">
        <v>2077</v>
      </c>
      <c r="E877" s="5">
        <f>'ПДФО ГРОМАДИ'!M877</f>
        <v>0</v>
      </c>
      <c r="F877" s="5">
        <f>'ПДФО ГРОМАДИ'!N877</f>
        <v>8261.1</v>
      </c>
    </row>
    <row r="878" spans="1:6" ht="15.75" x14ac:dyDescent="0.25">
      <c r="A878" s="38">
        <v>14</v>
      </c>
      <c r="B878" s="34" t="s">
        <v>985</v>
      </c>
      <c r="C878" s="18">
        <v>14530000000</v>
      </c>
      <c r="D878" s="32" t="s">
        <v>2078</v>
      </c>
      <c r="E878" s="5">
        <f>'ПДФО ГРОМАДИ'!M878</f>
        <v>0</v>
      </c>
      <c r="F878" s="5">
        <f>'ПДФО ГРОМАДИ'!N878</f>
        <v>12469.3</v>
      </c>
    </row>
    <row r="879" spans="1:6" ht="15.75" x14ac:dyDescent="0.25">
      <c r="A879" s="38">
        <v>14</v>
      </c>
      <c r="B879" s="34" t="s">
        <v>983</v>
      </c>
      <c r="C879" s="18">
        <v>14531000000</v>
      </c>
      <c r="D879" s="32" t="s">
        <v>2831</v>
      </c>
      <c r="E879" s="5">
        <f>'ПДФО ГРОМАДИ'!M879</f>
        <v>0</v>
      </c>
      <c r="F879" s="5">
        <f>'ПДФО ГРОМАДИ'!N879</f>
        <v>17098.8</v>
      </c>
    </row>
    <row r="880" spans="1:6" ht="15.75" x14ac:dyDescent="0.25">
      <c r="A880" s="38">
        <v>14</v>
      </c>
      <c r="B880" s="34" t="s">
        <v>983</v>
      </c>
      <c r="C880" s="18">
        <v>14532000000</v>
      </c>
      <c r="D880" s="32" t="s">
        <v>2079</v>
      </c>
      <c r="E880" s="5">
        <f>'ПДФО ГРОМАДИ'!M880</f>
        <v>0</v>
      </c>
      <c r="F880" s="5">
        <f>'ПДФО ГРОМАДИ'!N880</f>
        <v>10427</v>
      </c>
    </row>
    <row r="881" spans="1:6" ht="15.75" x14ac:dyDescent="0.25">
      <c r="A881" s="38">
        <v>14</v>
      </c>
      <c r="B881" s="34" t="s">
        <v>984</v>
      </c>
      <c r="C881" s="18">
        <v>14534000000</v>
      </c>
      <c r="D881" s="32" t="s">
        <v>2080</v>
      </c>
      <c r="E881" s="5">
        <f>'ПДФО ГРОМАДИ'!M881</f>
        <v>0</v>
      </c>
      <c r="F881" s="5">
        <f>'ПДФО ГРОМАДИ'!N881</f>
        <v>6177.1</v>
      </c>
    </row>
    <row r="882" spans="1:6" ht="15.75" x14ac:dyDescent="0.25">
      <c r="A882" s="38">
        <v>14</v>
      </c>
      <c r="B882" s="34" t="s">
        <v>984</v>
      </c>
      <c r="C882" s="18">
        <v>14535000000</v>
      </c>
      <c r="D882" s="32" t="s">
        <v>2081</v>
      </c>
      <c r="E882" s="5">
        <f>'ПДФО ГРОМАДИ'!M882</f>
        <v>0</v>
      </c>
      <c r="F882" s="5">
        <f>'ПДФО ГРОМАДИ'!N882</f>
        <v>5428.3</v>
      </c>
    </row>
    <row r="883" spans="1:6" ht="15.75" x14ac:dyDescent="0.25">
      <c r="A883" s="38">
        <v>14</v>
      </c>
      <c r="B883" s="34" t="s">
        <v>984</v>
      </c>
      <c r="C883" s="18">
        <v>14538000000</v>
      </c>
      <c r="D883" s="32" t="s">
        <v>2082</v>
      </c>
      <c r="E883" s="5">
        <f>'ПДФО ГРОМАДИ'!M883</f>
        <v>138.1</v>
      </c>
      <c r="F883" s="5">
        <f>'ПДФО ГРОМАДИ'!N883</f>
        <v>0</v>
      </c>
    </row>
    <row r="884" spans="1:6" ht="15.75" x14ac:dyDescent="0.25">
      <c r="A884" s="38">
        <v>14</v>
      </c>
      <c r="B884" s="34" t="s">
        <v>984</v>
      </c>
      <c r="C884" s="18">
        <v>14539000000</v>
      </c>
      <c r="D884" s="32" t="s">
        <v>2083</v>
      </c>
      <c r="E884" s="5">
        <f>'ПДФО ГРОМАДИ'!M884</f>
        <v>0</v>
      </c>
      <c r="F884" s="5">
        <f>'ПДФО ГРОМАДИ'!N884</f>
        <v>2919.7</v>
      </c>
    </row>
    <row r="885" spans="1:6" ht="15.75" x14ac:dyDescent="0.25">
      <c r="A885" s="38">
        <v>14</v>
      </c>
      <c r="B885" s="34" t="s">
        <v>984</v>
      </c>
      <c r="C885" s="18">
        <v>14540000000</v>
      </c>
      <c r="D885" s="32" t="s">
        <v>2084</v>
      </c>
      <c r="E885" s="5">
        <f>'ПДФО ГРОМАДИ'!M885</f>
        <v>0</v>
      </c>
      <c r="F885" s="5">
        <f>'ПДФО ГРОМАДИ'!N885</f>
        <v>6089.1</v>
      </c>
    </row>
    <row r="886" spans="1:6" ht="15.75" x14ac:dyDescent="0.25">
      <c r="A886" s="38">
        <v>14</v>
      </c>
      <c r="B886" s="34" t="s">
        <v>984</v>
      </c>
      <c r="C886" s="18">
        <v>14541000000</v>
      </c>
      <c r="D886" s="32" t="s">
        <v>2085</v>
      </c>
      <c r="E886" s="5">
        <f>'ПДФО ГРОМАДИ'!M886</f>
        <v>0</v>
      </c>
      <c r="F886" s="5">
        <f>'ПДФО ГРОМАДИ'!N886</f>
        <v>7194.1</v>
      </c>
    </row>
    <row r="887" spans="1:6" ht="15.75" x14ac:dyDescent="0.25">
      <c r="A887" s="38">
        <v>14</v>
      </c>
      <c r="B887" s="34" t="s">
        <v>984</v>
      </c>
      <c r="C887" s="18">
        <v>14542000000</v>
      </c>
      <c r="D887" s="32" t="s">
        <v>2086</v>
      </c>
      <c r="E887" s="5">
        <f>'ПДФО ГРОМАДИ'!M887</f>
        <v>298.5</v>
      </c>
      <c r="F887" s="5">
        <f>'ПДФО ГРОМАДИ'!N887</f>
        <v>0</v>
      </c>
    </row>
    <row r="888" spans="1:6" ht="15.75" x14ac:dyDescent="0.25">
      <c r="A888" s="38">
        <v>14</v>
      </c>
      <c r="B888" s="34" t="s">
        <v>985</v>
      </c>
      <c r="C888" s="18">
        <v>14543000000</v>
      </c>
      <c r="D888" s="80" t="s">
        <v>2087</v>
      </c>
      <c r="E888" s="5">
        <f>'ПДФО ГРОМАДИ'!M888</f>
        <v>0</v>
      </c>
      <c r="F888" s="5">
        <f>'ПДФО ГРОМАДИ'!N888</f>
        <v>7102.5</v>
      </c>
    </row>
    <row r="889" spans="1:6" ht="15.75" x14ac:dyDescent="0.25">
      <c r="A889" s="38">
        <v>14</v>
      </c>
      <c r="B889" s="34" t="s">
        <v>985</v>
      </c>
      <c r="C889" s="18">
        <v>14544000000</v>
      </c>
      <c r="D889" s="80" t="s">
        <v>2088</v>
      </c>
      <c r="E889" s="5">
        <f>'ПДФО ГРОМАДИ'!M889</f>
        <v>0</v>
      </c>
      <c r="F889" s="5">
        <f>'ПДФО ГРОМАДИ'!N889</f>
        <v>16344.5</v>
      </c>
    </row>
    <row r="890" spans="1:6" ht="15.75" x14ac:dyDescent="0.25">
      <c r="A890" s="38">
        <v>14</v>
      </c>
      <c r="B890" s="34" t="s">
        <v>985</v>
      </c>
      <c r="C890" s="18">
        <v>14545000000</v>
      </c>
      <c r="D890" s="80" t="s">
        <v>2089</v>
      </c>
      <c r="E890" s="5">
        <f>'ПДФО ГРОМАДИ'!M890</f>
        <v>0</v>
      </c>
      <c r="F890" s="5">
        <f>'ПДФО ГРОМАДИ'!N890</f>
        <v>4848.7</v>
      </c>
    </row>
    <row r="891" spans="1:6" ht="15.75" x14ac:dyDescent="0.25">
      <c r="A891" s="38">
        <v>14</v>
      </c>
      <c r="B891" s="34" t="s">
        <v>984</v>
      </c>
      <c r="C891" s="18">
        <v>14546000000</v>
      </c>
      <c r="D891" s="80" t="s">
        <v>2090</v>
      </c>
      <c r="E891" s="5">
        <f>'ПДФО ГРОМАДИ'!M891</f>
        <v>0</v>
      </c>
      <c r="F891" s="5">
        <f>'ПДФО ГРОМАДИ'!N891</f>
        <v>6563</v>
      </c>
    </row>
    <row r="892" spans="1:6" ht="15.75" x14ac:dyDescent="0.25">
      <c r="A892" s="38">
        <v>14</v>
      </c>
      <c r="B892" s="34" t="s">
        <v>984</v>
      </c>
      <c r="C892" s="18">
        <v>14547000000</v>
      </c>
      <c r="D892" s="80" t="s">
        <v>1659</v>
      </c>
      <c r="E892" s="5">
        <f>'ПДФО ГРОМАДИ'!M892</f>
        <v>0</v>
      </c>
      <c r="F892" s="5">
        <f>'ПДФО ГРОМАДИ'!N892</f>
        <v>6575.6</v>
      </c>
    </row>
    <row r="893" spans="1:6" ht="15.75" x14ac:dyDescent="0.25">
      <c r="A893" s="38">
        <v>14</v>
      </c>
      <c r="B893" s="34" t="s">
        <v>985</v>
      </c>
      <c r="C893" s="18">
        <v>14548000000</v>
      </c>
      <c r="D893" s="80" t="s">
        <v>2091</v>
      </c>
      <c r="E893" s="5">
        <f>'ПДФО ГРОМАДИ'!M893</f>
        <v>0</v>
      </c>
      <c r="F893" s="5">
        <f>'ПДФО ГРОМАДИ'!N893</f>
        <v>20304.3</v>
      </c>
    </row>
    <row r="894" spans="1:6" ht="15.75" x14ac:dyDescent="0.25">
      <c r="A894" s="38">
        <v>14</v>
      </c>
      <c r="B894" s="34" t="s">
        <v>986</v>
      </c>
      <c r="C894" s="18">
        <v>14549000000</v>
      </c>
      <c r="D894" s="80" t="s">
        <v>2092</v>
      </c>
      <c r="E894" s="5">
        <f>'ПДФО ГРОМАДИ'!M894</f>
        <v>144454.5</v>
      </c>
      <c r="F894" s="5">
        <f>'ПДФО ГРОМАДИ'!N894</f>
        <v>0</v>
      </c>
    </row>
    <row r="895" spans="1:6" ht="15.75" x14ac:dyDescent="0.25">
      <c r="A895" s="38">
        <v>14</v>
      </c>
      <c r="B895" s="34" t="s">
        <v>983</v>
      </c>
      <c r="C895" s="18">
        <v>14550000000</v>
      </c>
      <c r="D895" s="80" t="s">
        <v>2093</v>
      </c>
      <c r="E895" s="5">
        <f>'ПДФО ГРОМАДИ'!M895</f>
        <v>0</v>
      </c>
      <c r="F895" s="5">
        <f>'ПДФО ГРОМАДИ'!N895</f>
        <v>5641.5</v>
      </c>
    </row>
    <row r="896" spans="1:6" ht="15.75" x14ac:dyDescent="0.25">
      <c r="A896" s="38">
        <v>14</v>
      </c>
      <c r="B896" s="34" t="s">
        <v>986</v>
      </c>
      <c r="C896" s="18">
        <v>14551000000</v>
      </c>
      <c r="D896" s="80" t="s">
        <v>2094</v>
      </c>
      <c r="E896" s="5">
        <f>'ПДФО ГРОМАДИ'!M896</f>
        <v>8100.4</v>
      </c>
      <c r="F896" s="5">
        <f>'ПДФО ГРОМАДИ'!N896</f>
        <v>0</v>
      </c>
    </row>
    <row r="897" spans="1:6" s="24" customFormat="1" ht="15.75" x14ac:dyDescent="0.25">
      <c r="A897" s="38">
        <v>14</v>
      </c>
      <c r="B897" s="34" t="s">
        <v>986</v>
      </c>
      <c r="C897" s="18">
        <v>14552000000</v>
      </c>
      <c r="D897" s="80" t="s">
        <v>2095</v>
      </c>
      <c r="E897" s="5">
        <f>'ПДФО ГРОМАДИ'!M897</f>
        <v>0</v>
      </c>
      <c r="F897" s="5">
        <f>'ПДФО ГРОМАДИ'!N897</f>
        <v>39645.9</v>
      </c>
    </row>
    <row r="898" spans="1:6" s="24" customFormat="1" ht="15.75" x14ac:dyDescent="0.25">
      <c r="A898" s="38">
        <v>14</v>
      </c>
      <c r="B898" s="34" t="s">
        <v>985</v>
      </c>
      <c r="C898" s="18">
        <v>14553000000</v>
      </c>
      <c r="D898" s="80" t="s">
        <v>2096</v>
      </c>
      <c r="E898" s="5">
        <f>'ПДФО ГРОМАДИ'!M898</f>
        <v>0</v>
      </c>
      <c r="F898" s="5">
        <f>'ПДФО ГРОМАДИ'!N898</f>
        <v>9898.9</v>
      </c>
    </row>
    <row r="899" spans="1:6" s="24" customFormat="1" ht="15.75" x14ac:dyDescent="0.25">
      <c r="A899" s="38">
        <v>14</v>
      </c>
      <c r="B899" s="34" t="s">
        <v>984</v>
      </c>
      <c r="C899" s="18">
        <v>14554000000</v>
      </c>
      <c r="D899" s="80" t="s">
        <v>2097</v>
      </c>
      <c r="E899" s="5">
        <f>'ПДФО ГРОМАДИ'!M899</f>
        <v>0</v>
      </c>
      <c r="F899" s="5">
        <f>'ПДФО ГРОМАДИ'!N899</f>
        <v>7531.4</v>
      </c>
    </row>
    <row r="900" spans="1:6" ht="15.75" x14ac:dyDescent="0.25">
      <c r="A900" s="38">
        <v>14</v>
      </c>
      <c r="B900" s="34" t="s">
        <v>984</v>
      </c>
      <c r="C900" s="18">
        <v>14555000000</v>
      </c>
      <c r="D900" s="80" t="s">
        <v>2098</v>
      </c>
      <c r="E900" s="5">
        <f>'ПДФО ГРОМАДИ'!M900</f>
        <v>0</v>
      </c>
      <c r="F900" s="5">
        <f>'ПДФО ГРОМАДИ'!N900</f>
        <v>923</v>
      </c>
    </row>
    <row r="901" spans="1:6" ht="15.75" x14ac:dyDescent="0.25">
      <c r="A901" s="38">
        <v>14</v>
      </c>
      <c r="B901" s="34" t="s">
        <v>984</v>
      </c>
      <c r="C901" s="18">
        <v>14556000000</v>
      </c>
      <c r="D901" s="80" t="s">
        <v>2099</v>
      </c>
      <c r="E901" s="5">
        <f>'ПДФО ГРОМАДИ'!M901</f>
        <v>0</v>
      </c>
      <c r="F901" s="5">
        <f>'ПДФО ГРОМАДИ'!N901</f>
        <v>2372.6999999999998</v>
      </c>
    </row>
    <row r="902" spans="1:6" ht="15.75" x14ac:dyDescent="0.25">
      <c r="A902" s="38">
        <v>14</v>
      </c>
      <c r="B902" s="34" t="s">
        <v>986</v>
      </c>
      <c r="C902" s="18">
        <v>14557000000</v>
      </c>
      <c r="D902" s="80" t="s">
        <v>2100</v>
      </c>
      <c r="E902" s="5">
        <f>'ПДФО ГРОМАДИ'!M902</f>
        <v>122820.6</v>
      </c>
      <c r="F902" s="5">
        <f>'ПДФО ГРОМАДИ'!N902</f>
        <v>0</v>
      </c>
    </row>
    <row r="903" spans="1:6" ht="15.75" x14ac:dyDescent="0.25">
      <c r="A903" s="36">
        <v>15</v>
      </c>
      <c r="B903" s="17" t="s">
        <v>7</v>
      </c>
      <c r="C903" s="17" t="s">
        <v>796</v>
      </c>
      <c r="D903" s="11" t="s">
        <v>17</v>
      </c>
      <c r="E903" s="11">
        <f>E904+E905+E913</f>
        <v>652842.1</v>
      </c>
      <c r="F903" s="11">
        <f>F904+F905+F913</f>
        <v>1059611.8000000003</v>
      </c>
    </row>
    <row r="904" spans="1:6" ht="15.75" x14ac:dyDescent="0.25">
      <c r="A904" s="38">
        <v>15</v>
      </c>
      <c r="B904" s="34" t="s">
        <v>6</v>
      </c>
      <c r="C904" s="18" t="s">
        <v>133</v>
      </c>
      <c r="D904" s="32" t="s">
        <v>853</v>
      </c>
      <c r="E904" s="5">
        <f>'ПДФО ОБЛАСНІ'!K17+'ПОДАТОК НА ПРИБУТОК'!K17</f>
        <v>0</v>
      </c>
      <c r="F904" s="5">
        <f>'ПДФО ОБЛАСНІ'!L17+'ПОДАТОК НА ПРИБУТОК'!L17</f>
        <v>0</v>
      </c>
    </row>
    <row r="905" spans="1:6" ht="15.75" x14ac:dyDescent="0.25">
      <c r="A905" s="37">
        <v>15</v>
      </c>
      <c r="B905" s="19" t="s">
        <v>5</v>
      </c>
      <c r="C905" s="19" t="s">
        <v>797</v>
      </c>
      <c r="D905" s="7" t="s">
        <v>2807</v>
      </c>
      <c r="E905" s="7">
        <f>SUM(E906:E912)</f>
        <v>0</v>
      </c>
      <c r="F905" s="7">
        <f>SUM(F906:F912)</f>
        <v>0</v>
      </c>
    </row>
    <row r="906" spans="1:6" ht="15.75" x14ac:dyDescent="0.25">
      <c r="A906" s="38">
        <v>15</v>
      </c>
      <c r="B906" s="34" t="s">
        <v>4</v>
      </c>
      <c r="C906" s="18" t="s">
        <v>2754</v>
      </c>
      <c r="D906" s="32" t="s">
        <v>2755</v>
      </c>
      <c r="E906" s="5">
        <f>'ПДФО ГРОМАДИ'!M906</f>
        <v>0</v>
      </c>
      <c r="F906" s="5">
        <f>'ПДФО ГРОМАДИ'!N906</f>
        <v>0</v>
      </c>
    </row>
    <row r="907" spans="1:6" ht="15.75" x14ac:dyDescent="0.25">
      <c r="A907" s="38">
        <v>15</v>
      </c>
      <c r="B907" s="34" t="s">
        <v>4</v>
      </c>
      <c r="C907" s="18" t="s">
        <v>134</v>
      </c>
      <c r="D907" s="32" t="s">
        <v>933</v>
      </c>
      <c r="E907" s="5">
        <f>'ПДФО ГРОМАДИ'!M907</f>
        <v>0</v>
      </c>
      <c r="F907" s="5">
        <f>'ПДФО ГРОМАДИ'!N907</f>
        <v>0</v>
      </c>
    </row>
    <row r="908" spans="1:6" ht="15.75" x14ac:dyDescent="0.25">
      <c r="A908" s="38">
        <v>15</v>
      </c>
      <c r="B908" s="34" t="s">
        <v>4</v>
      </c>
      <c r="C908" s="18" t="s">
        <v>135</v>
      </c>
      <c r="D908" s="32" t="s">
        <v>934</v>
      </c>
      <c r="E908" s="5">
        <f>'ПДФО ГРОМАДИ'!M908</f>
        <v>0</v>
      </c>
      <c r="F908" s="5">
        <f>'ПДФО ГРОМАДИ'!N908</f>
        <v>0</v>
      </c>
    </row>
    <row r="909" spans="1:6" ht="15.75" x14ac:dyDescent="0.25">
      <c r="A909" s="38">
        <v>15</v>
      </c>
      <c r="B909" s="34" t="s">
        <v>4</v>
      </c>
      <c r="C909" s="18" t="s">
        <v>136</v>
      </c>
      <c r="D909" s="32" t="s">
        <v>935</v>
      </c>
      <c r="E909" s="5">
        <f>'ПДФО ГРОМАДИ'!M909</f>
        <v>0</v>
      </c>
      <c r="F909" s="5">
        <f>'ПДФО ГРОМАДИ'!N909</f>
        <v>0</v>
      </c>
    </row>
    <row r="910" spans="1:6" ht="15.75" x14ac:dyDescent="0.25">
      <c r="A910" s="38">
        <v>15</v>
      </c>
      <c r="B910" s="34" t="s">
        <v>4</v>
      </c>
      <c r="C910" s="18">
        <v>15314200000</v>
      </c>
      <c r="D910" s="32" t="s">
        <v>2101</v>
      </c>
      <c r="E910" s="5">
        <f>'ПДФО ГРОМАДИ'!M910</f>
        <v>0</v>
      </c>
      <c r="F910" s="5">
        <f>'ПДФО ГРОМАДИ'!N910</f>
        <v>0</v>
      </c>
    </row>
    <row r="911" spans="1:6" ht="15.75" x14ac:dyDescent="0.25">
      <c r="A911" s="38">
        <v>15</v>
      </c>
      <c r="B911" s="34" t="s">
        <v>4</v>
      </c>
      <c r="C911" s="18" t="s">
        <v>137</v>
      </c>
      <c r="D911" s="32" t="s">
        <v>936</v>
      </c>
      <c r="E911" s="5">
        <f>'ПДФО ГРОМАДИ'!M911</f>
        <v>0</v>
      </c>
      <c r="F911" s="5">
        <f>'ПДФО ГРОМАДИ'!N911</f>
        <v>0</v>
      </c>
    </row>
    <row r="912" spans="1:6" ht="15.75" x14ac:dyDescent="0.25">
      <c r="A912" s="38">
        <v>15</v>
      </c>
      <c r="B912" s="34" t="s">
        <v>4</v>
      </c>
      <c r="C912" s="18">
        <v>15327200000</v>
      </c>
      <c r="D912" s="32" t="s">
        <v>2102</v>
      </c>
      <c r="E912" s="5">
        <f>'ПДФО ГРОМАДИ'!M912</f>
        <v>0</v>
      </c>
      <c r="F912" s="5">
        <f>'ПДФО ГРОМАДИ'!N912</f>
        <v>0</v>
      </c>
    </row>
    <row r="913" spans="1:6" ht="15.75" x14ac:dyDescent="0.25">
      <c r="A913" s="37">
        <v>15</v>
      </c>
      <c r="B913" s="19" t="s">
        <v>28</v>
      </c>
      <c r="C913" s="19" t="s">
        <v>798</v>
      </c>
      <c r="D913" s="20" t="s">
        <v>2781</v>
      </c>
      <c r="E913" s="7">
        <f>SUM(E914:E1004)</f>
        <v>652842.1</v>
      </c>
      <c r="F913" s="7">
        <f>SUM(F914:F1004)</f>
        <v>1059611.8000000003</v>
      </c>
    </row>
    <row r="914" spans="1:6" ht="15.75" x14ac:dyDescent="0.25">
      <c r="A914" s="38">
        <v>15</v>
      </c>
      <c r="B914" s="34" t="s">
        <v>986</v>
      </c>
      <c r="C914" s="18">
        <v>15501000000</v>
      </c>
      <c r="D914" s="32" t="s">
        <v>2103</v>
      </c>
      <c r="E914" s="5">
        <f>'ПДФО ГРОМАДИ'!M914</f>
        <v>0</v>
      </c>
      <c r="F914" s="5">
        <f>'ПДФО ГРОМАДИ'!N914</f>
        <v>13292.1</v>
      </c>
    </row>
    <row r="915" spans="1:6" ht="15.75" x14ac:dyDescent="0.25">
      <c r="A915" s="38">
        <v>15</v>
      </c>
      <c r="B915" s="34" t="s">
        <v>986</v>
      </c>
      <c r="C915" s="18">
        <v>15502000000</v>
      </c>
      <c r="D915" s="32" t="s">
        <v>2104</v>
      </c>
      <c r="E915" s="5">
        <f>'ПДФО ГРОМАДИ'!M915</f>
        <v>0</v>
      </c>
      <c r="F915" s="5">
        <f>'ПДФО ГРОМАДИ'!N915</f>
        <v>5338.8</v>
      </c>
    </row>
    <row r="916" spans="1:6" ht="15.75" x14ac:dyDescent="0.25">
      <c r="A916" s="38">
        <v>15</v>
      </c>
      <c r="B916" s="34" t="s">
        <v>985</v>
      </c>
      <c r="C916" s="18" t="s">
        <v>138</v>
      </c>
      <c r="D916" s="32" t="s">
        <v>2105</v>
      </c>
      <c r="E916" s="5">
        <f>'ПДФО ГРОМАДИ'!M916</f>
        <v>0</v>
      </c>
      <c r="F916" s="5">
        <f>'ПДФО ГРОМАДИ'!N916</f>
        <v>9764.5</v>
      </c>
    </row>
    <row r="917" spans="1:6" ht="15.75" x14ac:dyDescent="0.25">
      <c r="A917" s="38">
        <v>15</v>
      </c>
      <c r="B917" s="34" t="s">
        <v>984</v>
      </c>
      <c r="C917" s="18" t="s">
        <v>139</v>
      </c>
      <c r="D917" s="32" t="s">
        <v>2106</v>
      </c>
      <c r="E917" s="5">
        <f>'ПДФО ГРОМАДИ'!M917</f>
        <v>0</v>
      </c>
      <c r="F917" s="5">
        <f>'ПДФО ГРОМАДИ'!N917</f>
        <v>0</v>
      </c>
    </row>
    <row r="918" spans="1:6" ht="15.75" x14ac:dyDescent="0.25">
      <c r="A918" s="38">
        <v>15</v>
      </c>
      <c r="B918" s="34" t="s">
        <v>984</v>
      </c>
      <c r="C918" s="18" t="s">
        <v>140</v>
      </c>
      <c r="D918" s="32" t="s">
        <v>2107</v>
      </c>
      <c r="E918" s="5">
        <f>'ПДФО ГРОМАДИ'!M918</f>
        <v>0</v>
      </c>
      <c r="F918" s="5">
        <f>'ПДФО ГРОМАДИ'!N918</f>
        <v>10415.200000000001</v>
      </c>
    </row>
    <row r="919" spans="1:6" ht="15.75" x14ac:dyDescent="0.25">
      <c r="A919" s="38">
        <v>15</v>
      </c>
      <c r="B919" s="34" t="s">
        <v>984</v>
      </c>
      <c r="C919" s="18" t="s">
        <v>141</v>
      </c>
      <c r="D919" s="32" t="s">
        <v>2108</v>
      </c>
      <c r="E919" s="5">
        <f>'ПДФО ГРОМАДИ'!M919</f>
        <v>0</v>
      </c>
      <c r="F919" s="5">
        <f>'ПДФО ГРОМАДИ'!N919</f>
        <v>5182.8</v>
      </c>
    </row>
    <row r="920" spans="1:6" ht="15.75" x14ac:dyDescent="0.25">
      <c r="A920" s="38">
        <v>15</v>
      </c>
      <c r="B920" s="34" t="s">
        <v>984</v>
      </c>
      <c r="C920" s="18" t="s">
        <v>142</v>
      </c>
      <c r="D920" s="32" t="s">
        <v>2109</v>
      </c>
      <c r="E920" s="5">
        <f>'ПДФО ГРОМАДИ'!M920</f>
        <v>0</v>
      </c>
      <c r="F920" s="5">
        <f>'ПДФО ГРОМАДИ'!N920</f>
        <v>4611.3</v>
      </c>
    </row>
    <row r="921" spans="1:6" ht="15.75" x14ac:dyDescent="0.25">
      <c r="A921" s="38">
        <v>15</v>
      </c>
      <c r="B921" s="34" t="s">
        <v>984</v>
      </c>
      <c r="C921" s="18" t="s">
        <v>143</v>
      </c>
      <c r="D921" s="32" t="s">
        <v>2110</v>
      </c>
      <c r="E921" s="5">
        <f>'ПДФО ГРОМАДИ'!M921</f>
        <v>0</v>
      </c>
      <c r="F921" s="5">
        <f>'ПДФО ГРОМАДИ'!N921</f>
        <v>2641</v>
      </c>
    </row>
    <row r="922" spans="1:6" ht="15.75" x14ac:dyDescent="0.25">
      <c r="A922" s="38">
        <v>15</v>
      </c>
      <c r="B922" s="34" t="s">
        <v>985</v>
      </c>
      <c r="C922" s="18" t="s">
        <v>401</v>
      </c>
      <c r="D922" s="32" t="s">
        <v>2111</v>
      </c>
      <c r="E922" s="5">
        <f>'ПДФО ГРОМАДИ'!M922</f>
        <v>0</v>
      </c>
      <c r="F922" s="5">
        <f>'ПДФО ГРОМАДИ'!N922</f>
        <v>11164.1</v>
      </c>
    </row>
    <row r="923" spans="1:6" ht="15.75" x14ac:dyDescent="0.25">
      <c r="A923" s="38">
        <v>15</v>
      </c>
      <c r="B923" s="34" t="s">
        <v>985</v>
      </c>
      <c r="C923" s="18" t="s">
        <v>402</v>
      </c>
      <c r="D923" s="32" t="s">
        <v>2112</v>
      </c>
      <c r="E923" s="5">
        <f>'ПДФО ГРОМАДИ'!M923</f>
        <v>0</v>
      </c>
      <c r="F923" s="5">
        <f>'ПДФО ГРОМАДИ'!N923</f>
        <v>4904.2</v>
      </c>
    </row>
    <row r="924" spans="1:6" ht="15.75" x14ac:dyDescent="0.25">
      <c r="A924" s="38">
        <v>15</v>
      </c>
      <c r="B924" s="34" t="s">
        <v>984</v>
      </c>
      <c r="C924" s="18" t="s">
        <v>403</v>
      </c>
      <c r="D924" s="32" t="s">
        <v>2113</v>
      </c>
      <c r="E924" s="5">
        <f>'ПДФО ГРОМАДИ'!M924</f>
        <v>0</v>
      </c>
      <c r="F924" s="5">
        <f>'ПДФО ГРОМАДИ'!N924</f>
        <v>4866.3</v>
      </c>
    </row>
    <row r="925" spans="1:6" ht="15.75" x14ac:dyDescent="0.25">
      <c r="A925" s="38">
        <v>15</v>
      </c>
      <c r="B925" s="34" t="s">
        <v>984</v>
      </c>
      <c r="C925" s="18" t="s">
        <v>491</v>
      </c>
      <c r="D925" s="32" t="s">
        <v>2114</v>
      </c>
      <c r="E925" s="5">
        <f>'ПДФО ГРОМАДИ'!M925</f>
        <v>0</v>
      </c>
      <c r="F925" s="5">
        <f>'ПДФО ГРОМАДИ'!N925</f>
        <v>14824.7</v>
      </c>
    </row>
    <row r="926" spans="1:6" ht="15.75" x14ac:dyDescent="0.25">
      <c r="A926" s="38">
        <v>15</v>
      </c>
      <c r="B926" s="34" t="s">
        <v>984</v>
      </c>
      <c r="C926" s="18" t="s">
        <v>587</v>
      </c>
      <c r="D926" s="32" t="s">
        <v>2115</v>
      </c>
      <c r="E926" s="5">
        <f>'ПДФО ГРОМАДИ'!M926</f>
        <v>0</v>
      </c>
      <c r="F926" s="5">
        <f>'ПДФО ГРОМАДИ'!N926</f>
        <v>23110.1</v>
      </c>
    </row>
    <row r="927" spans="1:6" ht="15.75" x14ac:dyDescent="0.25">
      <c r="A927" s="38">
        <v>15</v>
      </c>
      <c r="B927" s="34" t="s">
        <v>983</v>
      </c>
      <c r="C927" s="18" t="s">
        <v>588</v>
      </c>
      <c r="D927" s="32" t="s">
        <v>2116</v>
      </c>
      <c r="E927" s="5">
        <f>'ПДФО ГРОМАДИ'!M927</f>
        <v>0</v>
      </c>
      <c r="F927" s="5">
        <f>'ПДФО ГРОМАДИ'!N927</f>
        <v>8708.4</v>
      </c>
    </row>
    <row r="928" spans="1:6" ht="15.75" x14ac:dyDescent="0.25">
      <c r="A928" s="38">
        <v>15</v>
      </c>
      <c r="B928" s="34" t="s">
        <v>984</v>
      </c>
      <c r="C928" s="18" t="s">
        <v>589</v>
      </c>
      <c r="D928" s="32" t="s">
        <v>2117</v>
      </c>
      <c r="E928" s="5">
        <f>'ПДФО ГРОМАДИ'!M928</f>
        <v>0</v>
      </c>
      <c r="F928" s="5">
        <f>'ПДФО ГРОМАДИ'!N928</f>
        <v>24910.400000000001</v>
      </c>
    </row>
    <row r="929" spans="1:6" ht="15.75" x14ac:dyDescent="0.25">
      <c r="A929" s="38">
        <v>15</v>
      </c>
      <c r="B929" s="34" t="s">
        <v>984</v>
      </c>
      <c r="C929" s="18" t="s">
        <v>590</v>
      </c>
      <c r="D929" s="32" t="s">
        <v>2118</v>
      </c>
      <c r="E929" s="5">
        <f>'ПДФО ГРОМАДИ'!M929</f>
        <v>0</v>
      </c>
      <c r="F929" s="5">
        <f>'ПДФО ГРОМАДИ'!N929</f>
        <v>5160.8</v>
      </c>
    </row>
    <row r="930" spans="1:6" ht="15.75" x14ac:dyDescent="0.25">
      <c r="A930" s="38">
        <v>15</v>
      </c>
      <c r="B930" s="34" t="s">
        <v>983</v>
      </c>
      <c r="C930" s="18" t="s">
        <v>591</v>
      </c>
      <c r="D930" s="32" t="s">
        <v>2119</v>
      </c>
      <c r="E930" s="5">
        <f>'ПДФО ГРОМАДИ'!M930</f>
        <v>0</v>
      </c>
      <c r="F930" s="5">
        <f>'ПДФО ГРОМАДИ'!N930</f>
        <v>16859.7</v>
      </c>
    </row>
    <row r="931" spans="1:6" ht="15.75" x14ac:dyDescent="0.25">
      <c r="A931" s="38">
        <v>15</v>
      </c>
      <c r="B931" s="34" t="s">
        <v>985</v>
      </c>
      <c r="C931" s="18" t="s">
        <v>592</v>
      </c>
      <c r="D931" s="32" t="s">
        <v>2120</v>
      </c>
      <c r="E931" s="5">
        <f>'ПДФО ГРОМАДИ'!M931</f>
        <v>8777.6</v>
      </c>
      <c r="F931" s="5">
        <f>'ПДФО ГРОМАДИ'!N931</f>
        <v>0</v>
      </c>
    </row>
    <row r="932" spans="1:6" ht="15.75" x14ac:dyDescent="0.25">
      <c r="A932" s="38">
        <v>15</v>
      </c>
      <c r="B932" s="34" t="s">
        <v>984</v>
      </c>
      <c r="C932" s="18" t="s">
        <v>593</v>
      </c>
      <c r="D932" s="32" t="s">
        <v>2121</v>
      </c>
      <c r="E932" s="5">
        <f>'ПДФО ГРОМАДИ'!M932</f>
        <v>0</v>
      </c>
      <c r="F932" s="5">
        <f>'ПДФО ГРОМАДИ'!N932</f>
        <v>23925.9</v>
      </c>
    </row>
    <row r="933" spans="1:6" ht="15.75" x14ac:dyDescent="0.25">
      <c r="A933" s="38">
        <v>15</v>
      </c>
      <c r="B933" s="34" t="s">
        <v>984</v>
      </c>
      <c r="C933" s="18" t="s">
        <v>594</v>
      </c>
      <c r="D933" s="32" t="s">
        <v>2122</v>
      </c>
      <c r="E933" s="5">
        <f>'ПДФО ГРОМАДИ'!M933</f>
        <v>0</v>
      </c>
      <c r="F933" s="5">
        <f>'ПДФО ГРОМАДИ'!N933</f>
        <v>7257.8</v>
      </c>
    </row>
    <row r="934" spans="1:6" ht="15.75" x14ac:dyDescent="0.25">
      <c r="A934" s="38">
        <v>15</v>
      </c>
      <c r="B934" s="34" t="s">
        <v>984</v>
      </c>
      <c r="C934" s="18" t="s">
        <v>595</v>
      </c>
      <c r="D934" s="32" t="s">
        <v>2123</v>
      </c>
      <c r="E934" s="5">
        <f>'ПДФО ГРОМАДИ'!M934</f>
        <v>0</v>
      </c>
      <c r="F934" s="5">
        <f>'ПДФО ГРОМАДИ'!N934</f>
        <v>11860.4</v>
      </c>
    </row>
    <row r="935" spans="1:6" ht="15.75" x14ac:dyDescent="0.25">
      <c r="A935" s="38">
        <v>15</v>
      </c>
      <c r="B935" s="34" t="s">
        <v>985</v>
      </c>
      <c r="C935" s="18" t="s">
        <v>596</v>
      </c>
      <c r="D935" s="32" t="s">
        <v>2124</v>
      </c>
      <c r="E935" s="5">
        <f>'ПДФО ГРОМАДИ'!M935</f>
        <v>0</v>
      </c>
      <c r="F935" s="5">
        <f>'ПДФО ГРОМАДИ'!N935</f>
        <v>6847.7</v>
      </c>
    </row>
    <row r="936" spans="1:6" ht="15.75" x14ac:dyDescent="0.25">
      <c r="A936" s="38">
        <v>15</v>
      </c>
      <c r="B936" s="34" t="s">
        <v>984</v>
      </c>
      <c r="C936" s="18" t="s">
        <v>597</v>
      </c>
      <c r="D936" s="32" t="s">
        <v>2125</v>
      </c>
      <c r="E936" s="5">
        <f>'ПДФО ГРОМАДИ'!M936</f>
        <v>0</v>
      </c>
      <c r="F936" s="5">
        <f>'ПДФО ГРОМАДИ'!N936</f>
        <v>13961</v>
      </c>
    </row>
    <row r="937" spans="1:6" ht="15.75" x14ac:dyDescent="0.25">
      <c r="A937" s="38">
        <v>15</v>
      </c>
      <c r="B937" s="34" t="s">
        <v>984</v>
      </c>
      <c r="C937" s="18" t="s">
        <v>706</v>
      </c>
      <c r="D937" s="32" t="s">
        <v>2126</v>
      </c>
      <c r="E937" s="5">
        <f>'ПДФО ГРОМАДИ'!M937</f>
        <v>0</v>
      </c>
      <c r="F937" s="5">
        <f>'ПДФО ГРОМАДИ'!N937</f>
        <v>23726.5</v>
      </c>
    </row>
    <row r="938" spans="1:6" ht="15.75" x14ac:dyDescent="0.25">
      <c r="A938" s="38">
        <v>15</v>
      </c>
      <c r="B938" s="34" t="s">
        <v>985</v>
      </c>
      <c r="C938" s="18" t="s">
        <v>707</v>
      </c>
      <c r="D938" s="32" t="s">
        <v>2127</v>
      </c>
      <c r="E938" s="5">
        <f>'ПДФО ГРОМАДИ'!M938</f>
        <v>1568.5</v>
      </c>
      <c r="F938" s="5">
        <f>'ПДФО ГРОМАДИ'!N938</f>
        <v>0</v>
      </c>
    </row>
    <row r="939" spans="1:6" ht="15.75" x14ac:dyDescent="0.25">
      <c r="A939" s="38">
        <v>15</v>
      </c>
      <c r="B939" s="34" t="s">
        <v>983</v>
      </c>
      <c r="C939" s="18">
        <v>15526000000</v>
      </c>
      <c r="D939" s="32" t="s">
        <v>2128</v>
      </c>
      <c r="E939" s="5">
        <f>'ПДФО ГРОМАДИ'!M939</f>
        <v>0</v>
      </c>
      <c r="F939" s="5">
        <f>'ПДФО ГРОМАДИ'!N939</f>
        <v>37073.9</v>
      </c>
    </row>
    <row r="940" spans="1:6" ht="15.75" x14ac:dyDescent="0.25">
      <c r="A940" s="38">
        <v>15</v>
      </c>
      <c r="B940" s="34" t="s">
        <v>985</v>
      </c>
      <c r="C940" s="18">
        <v>15527000000</v>
      </c>
      <c r="D940" s="32" t="s">
        <v>2129</v>
      </c>
      <c r="E940" s="5">
        <f>'ПДФО ГРОМАДИ'!M940</f>
        <v>0</v>
      </c>
      <c r="F940" s="5">
        <f>'ПДФО ГРОМАДИ'!N940</f>
        <v>17807.3</v>
      </c>
    </row>
    <row r="941" spans="1:6" ht="15.75" x14ac:dyDescent="0.25">
      <c r="A941" s="38">
        <v>15</v>
      </c>
      <c r="B941" s="34" t="s">
        <v>985</v>
      </c>
      <c r="C941" s="18">
        <v>15528000000</v>
      </c>
      <c r="D941" s="32" t="s">
        <v>2130</v>
      </c>
      <c r="E941" s="5">
        <f>'ПДФО ГРОМАДИ'!M941</f>
        <v>0</v>
      </c>
      <c r="F941" s="5">
        <f>'ПДФО ГРОМАДИ'!N941</f>
        <v>15774.5</v>
      </c>
    </row>
    <row r="942" spans="1:6" ht="15.75" x14ac:dyDescent="0.25">
      <c r="A942" s="38">
        <v>15</v>
      </c>
      <c r="B942" s="34" t="s">
        <v>984</v>
      </c>
      <c r="C942" s="18">
        <v>15529000000</v>
      </c>
      <c r="D942" s="32" t="s">
        <v>2131</v>
      </c>
      <c r="E942" s="5">
        <f>'ПДФО ГРОМАДИ'!M942</f>
        <v>86546.7</v>
      </c>
      <c r="F942" s="5">
        <f>'ПДФО ГРОМАДИ'!N942</f>
        <v>0</v>
      </c>
    </row>
    <row r="943" spans="1:6" ht="15.75" x14ac:dyDescent="0.25">
      <c r="A943" s="38">
        <v>15</v>
      </c>
      <c r="B943" s="34" t="s">
        <v>984</v>
      </c>
      <c r="C943" s="18">
        <v>15530000000</v>
      </c>
      <c r="D943" s="32" t="s">
        <v>2132</v>
      </c>
      <c r="E943" s="5">
        <f>'ПДФО ГРОМАДИ'!M943</f>
        <v>0</v>
      </c>
      <c r="F943" s="5">
        <f>'ПДФО ГРОМАДИ'!N943</f>
        <v>9069.6</v>
      </c>
    </row>
    <row r="944" spans="1:6" ht="15.75" x14ac:dyDescent="0.25">
      <c r="A944" s="38">
        <v>15</v>
      </c>
      <c r="B944" s="34" t="s">
        <v>984</v>
      </c>
      <c r="C944" s="18">
        <v>15531000000</v>
      </c>
      <c r="D944" s="32" t="s">
        <v>2133</v>
      </c>
      <c r="E944" s="5">
        <f>'ПДФО ГРОМАДИ'!M944</f>
        <v>0</v>
      </c>
      <c r="F944" s="5">
        <f>'ПДФО ГРОМАДИ'!N944</f>
        <v>2684.1</v>
      </c>
    </row>
    <row r="945" spans="1:6" ht="15.75" x14ac:dyDescent="0.25">
      <c r="A945" s="38">
        <v>15</v>
      </c>
      <c r="B945" s="34" t="s">
        <v>985</v>
      </c>
      <c r="C945" s="18">
        <v>15532000000</v>
      </c>
      <c r="D945" s="32" t="s">
        <v>2134</v>
      </c>
      <c r="E945" s="5">
        <f>'ПДФО ГРОМАДИ'!M945</f>
        <v>0</v>
      </c>
      <c r="F945" s="5">
        <f>'ПДФО ГРОМАДИ'!N945</f>
        <v>9903.2000000000007</v>
      </c>
    </row>
    <row r="946" spans="1:6" ht="15.75" x14ac:dyDescent="0.25">
      <c r="A946" s="38">
        <v>15</v>
      </c>
      <c r="B946" s="34" t="s">
        <v>984</v>
      </c>
      <c r="C946" s="18">
        <v>15533000000</v>
      </c>
      <c r="D946" s="32" t="s">
        <v>2135</v>
      </c>
      <c r="E946" s="5">
        <f>'ПДФО ГРОМАДИ'!M946</f>
        <v>0</v>
      </c>
      <c r="F946" s="5">
        <f>'ПДФО ГРОМАДИ'!N946</f>
        <v>6677.3</v>
      </c>
    </row>
    <row r="947" spans="1:6" ht="15.75" x14ac:dyDescent="0.25">
      <c r="A947" s="38">
        <v>15</v>
      </c>
      <c r="B947" s="34" t="s">
        <v>985</v>
      </c>
      <c r="C947" s="18">
        <v>15534000000</v>
      </c>
      <c r="D947" s="32" t="s">
        <v>2136</v>
      </c>
      <c r="E947" s="5">
        <f>'ПДФО ГРОМАДИ'!M947</f>
        <v>0</v>
      </c>
      <c r="F947" s="5">
        <f>'ПДФО ГРОМАДИ'!N947</f>
        <v>3713.3</v>
      </c>
    </row>
    <row r="948" spans="1:6" ht="15.75" x14ac:dyDescent="0.25">
      <c r="A948" s="38">
        <v>15</v>
      </c>
      <c r="B948" s="34" t="s">
        <v>984</v>
      </c>
      <c r="C948" s="18">
        <v>15535000000</v>
      </c>
      <c r="D948" s="32" t="s">
        <v>2137</v>
      </c>
      <c r="E948" s="5">
        <f>'ПДФО ГРОМАДИ'!M948</f>
        <v>0</v>
      </c>
      <c r="F948" s="5">
        <f>'ПДФО ГРОМАДИ'!N948</f>
        <v>7556.5</v>
      </c>
    </row>
    <row r="949" spans="1:6" ht="15.75" x14ac:dyDescent="0.25">
      <c r="A949" s="38">
        <v>15</v>
      </c>
      <c r="B949" s="34" t="s">
        <v>984</v>
      </c>
      <c r="C949" s="18">
        <v>15536000000</v>
      </c>
      <c r="D949" s="32" t="s">
        <v>2138</v>
      </c>
      <c r="E949" s="5">
        <f>'ПДФО ГРОМАДИ'!M949</f>
        <v>0</v>
      </c>
      <c r="F949" s="5">
        <f>'ПДФО ГРОМАДИ'!N949</f>
        <v>6512.8</v>
      </c>
    </row>
    <row r="950" spans="1:6" ht="15.75" x14ac:dyDescent="0.25">
      <c r="A950" s="38">
        <v>15</v>
      </c>
      <c r="B950" s="34" t="s">
        <v>984</v>
      </c>
      <c r="C950" s="18">
        <v>15537000000</v>
      </c>
      <c r="D950" s="32" t="s">
        <v>2139</v>
      </c>
      <c r="E950" s="5">
        <f>'ПДФО ГРОМАДИ'!M950</f>
        <v>0</v>
      </c>
      <c r="F950" s="5">
        <f>'ПДФО ГРОМАДИ'!N950</f>
        <v>2450.3000000000002</v>
      </c>
    </row>
    <row r="951" spans="1:6" ht="15.75" x14ac:dyDescent="0.25">
      <c r="A951" s="38">
        <v>15</v>
      </c>
      <c r="B951" s="34" t="s">
        <v>983</v>
      </c>
      <c r="C951" s="18">
        <v>15538000000</v>
      </c>
      <c r="D951" s="32" t="s">
        <v>2140</v>
      </c>
      <c r="E951" s="5">
        <f>'ПДФО ГРОМАДИ'!M951</f>
        <v>0</v>
      </c>
      <c r="F951" s="5">
        <f>'ПДФО ГРОМАДИ'!N951</f>
        <v>16821.900000000001</v>
      </c>
    </row>
    <row r="952" spans="1:6" ht="15.75" x14ac:dyDescent="0.25">
      <c r="A952" s="38">
        <v>15</v>
      </c>
      <c r="B952" s="34" t="s">
        <v>983</v>
      </c>
      <c r="C952" s="18">
        <v>15539000000</v>
      </c>
      <c r="D952" s="32" t="s">
        <v>2141</v>
      </c>
      <c r="E952" s="5">
        <f>'ПДФО ГРОМАДИ'!M952</f>
        <v>0</v>
      </c>
      <c r="F952" s="5">
        <f>'ПДФО ГРОМАДИ'!N952</f>
        <v>31406.1</v>
      </c>
    </row>
    <row r="953" spans="1:6" ht="15.75" x14ac:dyDescent="0.25">
      <c r="A953" s="38">
        <v>15</v>
      </c>
      <c r="B953" s="34" t="s">
        <v>986</v>
      </c>
      <c r="C953" s="18">
        <v>15540000000</v>
      </c>
      <c r="D953" s="32" t="s">
        <v>2142</v>
      </c>
      <c r="E953" s="5">
        <f>'ПДФО ГРОМАДИ'!M953</f>
        <v>0</v>
      </c>
      <c r="F953" s="5">
        <f>'ПДФО ГРОМАДИ'!N953</f>
        <v>3628</v>
      </c>
    </row>
    <row r="954" spans="1:6" ht="15.75" x14ac:dyDescent="0.25">
      <c r="A954" s="38">
        <v>15</v>
      </c>
      <c r="B954" s="34" t="s">
        <v>983</v>
      </c>
      <c r="C954" s="18">
        <v>15541000000</v>
      </c>
      <c r="D954" s="32" t="s">
        <v>2143</v>
      </c>
      <c r="E954" s="5">
        <f>'ПДФО ГРОМАДИ'!M954</f>
        <v>0</v>
      </c>
      <c r="F954" s="5">
        <f>'ПДФО ГРОМАДИ'!N954</f>
        <v>18986.5</v>
      </c>
    </row>
    <row r="955" spans="1:6" ht="15.75" x14ac:dyDescent="0.25">
      <c r="A955" s="38">
        <v>15</v>
      </c>
      <c r="B955" s="34" t="s">
        <v>985</v>
      </c>
      <c r="C955" s="18">
        <v>15542000000</v>
      </c>
      <c r="D955" s="32" t="s">
        <v>2144</v>
      </c>
      <c r="E955" s="5">
        <f>'ПДФО ГРОМАДИ'!M955</f>
        <v>0</v>
      </c>
      <c r="F955" s="5">
        <f>'ПДФО ГРОМАДИ'!N955</f>
        <v>27371.3</v>
      </c>
    </row>
    <row r="956" spans="1:6" s="75" customFormat="1" ht="15.75" x14ac:dyDescent="0.25">
      <c r="A956" s="38">
        <v>15</v>
      </c>
      <c r="B956" s="34" t="s">
        <v>984</v>
      </c>
      <c r="C956" s="18">
        <v>15543000000</v>
      </c>
      <c r="D956" s="32" t="s">
        <v>2145</v>
      </c>
      <c r="E956" s="5">
        <f>'ПДФО ГРОМАДИ'!M956</f>
        <v>0</v>
      </c>
      <c r="F956" s="5">
        <f>'ПДФО ГРОМАДИ'!N956</f>
        <v>19965.2</v>
      </c>
    </row>
    <row r="957" spans="1:6" s="75" customFormat="1" ht="15.75" x14ac:dyDescent="0.25">
      <c r="A957" s="38">
        <v>15</v>
      </c>
      <c r="B957" s="34" t="s">
        <v>984</v>
      </c>
      <c r="C957" s="18">
        <v>15544000000</v>
      </c>
      <c r="D957" s="32" t="s">
        <v>2146</v>
      </c>
      <c r="E957" s="5">
        <f>'ПДФО ГРОМАДИ'!M957</f>
        <v>0</v>
      </c>
      <c r="F957" s="5">
        <f>'ПДФО ГРОМАДИ'!N957</f>
        <v>17315</v>
      </c>
    </row>
    <row r="958" spans="1:6" ht="15.75" x14ac:dyDescent="0.25">
      <c r="A958" s="38">
        <v>15</v>
      </c>
      <c r="B958" s="34" t="s">
        <v>985</v>
      </c>
      <c r="C958" s="18">
        <v>15545000000</v>
      </c>
      <c r="D958" s="32" t="s">
        <v>2147</v>
      </c>
      <c r="E958" s="5">
        <f>'ПДФО ГРОМАДИ'!M958</f>
        <v>0</v>
      </c>
      <c r="F958" s="5">
        <f>'ПДФО ГРОМАДИ'!N958</f>
        <v>9206.1</v>
      </c>
    </row>
    <row r="959" spans="1:6" ht="15.75" x14ac:dyDescent="0.25">
      <c r="A959" s="38">
        <v>15</v>
      </c>
      <c r="B959" s="34" t="s">
        <v>984</v>
      </c>
      <c r="C959" s="18">
        <v>15546000000</v>
      </c>
      <c r="D959" s="32" t="s">
        <v>2148</v>
      </c>
      <c r="E959" s="5">
        <f>'ПДФО ГРОМАДИ'!M959</f>
        <v>0</v>
      </c>
      <c r="F959" s="5">
        <f>'ПДФО ГРОМАДИ'!N959</f>
        <v>19127.900000000001</v>
      </c>
    </row>
    <row r="960" spans="1:6" ht="15.75" x14ac:dyDescent="0.25">
      <c r="A960" s="38">
        <v>15</v>
      </c>
      <c r="B960" s="34" t="s">
        <v>984</v>
      </c>
      <c r="C960" s="18">
        <v>15547000000</v>
      </c>
      <c r="D960" s="32" t="s">
        <v>2149</v>
      </c>
      <c r="E960" s="5">
        <f>'ПДФО ГРОМАДИ'!M960</f>
        <v>0</v>
      </c>
      <c r="F960" s="5">
        <f>'ПДФО ГРОМАДИ'!N960</f>
        <v>29096.799999999999</v>
      </c>
    </row>
    <row r="961" spans="1:6" ht="15.75" x14ac:dyDescent="0.25">
      <c r="A961" s="38">
        <v>15</v>
      </c>
      <c r="B961" s="34" t="s">
        <v>984</v>
      </c>
      <c r="C961" s="18">
        <v>15548000000</v>
      </c>
      <c r="D961" s="32" t="s">
        <v>2150</v>
      </c>
      <c r="E961" s="5">
        <f>'ПДФО ГРОМАДИ'!M961</f>
        <v>7498.5</v>
      </c>
      <c r="F961" s="5">
        <f>'ПДФО ГРОМАДИ'!N961</f>
        <v>0</v>
      </c>
    </row>
    <row r="962" spans="1:6" ht="15.75" x14ac:dyDescent="0.25">
      <c r="A962" s="38">
        <v>15</v>
      </c>
      <c r="B962" s="34" t="s">
        <v>984</v>
      </c>
      <c r="C962" s="18">
        <v>15549000000</v>
      </c>
      <c r="D962" s="32" t="s">
        <v>2151</v>
      </c>
      <c r="E962" s="5">
        <f>'ПДФО ГРОМАДИ'!M962</f>
        <v>0</v>
      </c>
      <c r="F962" s="5">
        <f>'ПДФО ГРОМАДИ'!N962</f>
        <v>10232.299999999999</v>
      </c>
    </row>
    <row r="963" spans="1:6" ht="15.75" x14ac:dyDescent="0.25">
      <c r="A963" s="38">
        <v>15</v>
      </c>
      <c r="B963" s="34" t="s">
        <v>985</v>
      </c>
      <c r="C963" s="18">
        <v>15550000000</v>
      </c>
      <c r="D963" s="32" t="s">
        <v>2152</v>
      </c>
      <c r="E963" s="5">
        <f>'ПДФО ГРОМАДИ'!M963</f>
        <v>0</v>
      </c>
      <c r="F963" s="5">
        <f>'ПДФО ГРОМАДИ'!N963</f>
        <v>518.5</v>
      </c>
    </row>
    <row r="964" spans="1:6" ht="15.75" x14ac:dyDescent="0.25">
      <c r="A964" s="38">
        <v>15</v>
      </c>
      <c r="B964" s="34" t="s">
        <v>984</v>
      </c>
      <c r="C964" s="18">
        <v>15551000000</v>
      </c>
      <c r="D964" s="32" t="s">
        <v>1605</v>
      </c>
      <c r="E964" s="5">
        <f>'ПДФО ГРОМАДИ'!M964</f>
        <v>0</v>
      </c>
      <c r="F964" s="5">
        <f>'ПДФО ГРОМАДИ'!N964</f>
        <v>6060.4</v>
      </c>
    </row>
    <row r="965" spans="1:6" ht="15.75" x14ac:dyDescent="0.25">
      <c r="A965" s="38">
        <v>15</v>
      </c>
      <c r="B965" s="34" t="s">
        <v>985</v>
      </c>
      <c r="C965" s="18">
        <v>15552000000</v>
      </c>
      <c r="D965" s="32" t="s">
        <v>2153</v>
      </c>
      <c r="E965" s="5">
        <f>'ПДФО ГРОМАДИ'!M965</f>
        <v>0</v>
      </c>
      <c r="F965" s="5">
        <f>'ПДФО ГРОМАДИ'!N965</f>
        <v>16094.5</v>
      </c>
    </row>
    <row r="966" spans="1:6" ht="15.75" x14ac:dyDescent="0.25">
      <c r="A966" s="38">
        <v>15</v>
      </c>
      <c r="B966" s="34" t="s">
        <v>986</v>
      </c>
      <c r="C966" s="18">
        <v>15553000000</v>
      </c>
      <c r="D966" s="32" t="s">
        <v>2154</v>
      </c>
      <c r="E966" s="5">
        <f>'ПДФО ГРОМАДИ'!M966</f>
        <v>0</v>
      </c>
      <c r="F966" s="5">
        <f>'ПДФО ГРОМАДИ'!N966</f>
        <v>0</v>
      </c>
    </row>
    <row r="967" spans="1:6" ht="15.75" x14ac:dyDescent="0.25">
      <c r="A967" s="38">
        <v>15</v>
      </c>
      <c r="B967" s="34" t="s">
        <v>984</v>
      </c>
      <c r="C967" s="18">
        <v>15554000000</v>
      </c>
      <c r="D967" s="32" t="s">
        <v>2155</v>
      </c>
      <c r="E967" s="5">
        <f>'ПДФО ГРОМАДИ'!M967</f>
        <v>0</v>
      </c>
      <c r="F967" s="5">
        <f>'ПДФО ГРОМАДИ'!N967</f>
        <v>724.6</v>
      </c>
    </row>
    <row r="968" spans="1:6" ht="15.75" x14ac:dyDescent="0.25">
      <c r="A968" s="38">
        <v>15</v>
      </c>
      <c r="B968" s="34" t="s">
        <v>983</v>
      </c>
      <c r="C968" s="18">
        <v>15555000000</v>
      </c>
      <c r="D968" s="32" t="s">
        <v>2156</v>
      </c>
      <c r="E968" s="5">
        <f>'ПДФО ГРОМАДИ'!M968</f>
        <v>0</v>
      </c>
      <c r="F968" s="5">
        <f>'ПДФО ГРОМАДИ'!N968</f>
        <v>18481.900000000001</v>
      </c>
    </row>
    <row r="969" spans="1:6" ht="15.75" x14ac:dyDescent="0.25">
      <c r="A969" s="38">
        <v>15</v>
      </c>
      <c r="B969" s="34" t="s">
        <v>984</v>
      </c>
      <c r="C969" s="18">
        <v>15556000000</v>
      </c>
      <c r="D969" s="32" t="s">
        <v>2157</v>
      </c>
      <c r="E969" s="5">
        <f>'ПДФО ГРОМАДИ'!M969</f>
        <v>0</v>
      </c>
      <c r="F969" s="5">
        <f>'ПДФО ГРОМАДИ'!N969</f>
        <v>8238.2999999999993</v>
      </c>
    </row>
    <row r="970" spans="1:6" ht="15.75" x14ac:dyDescent="0.25">
      <c r="A970" s="38">
        <v>15</v>
      </c>
      <c r="B970" s="34" t="s">
        <v>984</v>
      </c>
      <c r="C970" s="18">
        <v>15557000000</v>
      </c>
      <c r="D970" s="32" t="s">
        <v>2158</v>
      </c>
      <c r="E970" s="5">
        <f>'ПДФО ГРОМАДИ'!M970</f>
        <v>0</v>
      </c>
      <c r="F970" s="5">
        <f>'ПДФО ГРОМАДИ'!N970</f>
        <v>18069.3</v>
      </c>
    </row>
    <row r="971" spans="1:6" ht="15.75" x14ac:dyDescent="0.25">
      <c r="A971" s="38">
        <v>15</v>
      </c>
      <c r="B971" s="34" t="s">
        <v>984</v>
      </c>
      <c r="C971" s="18">
        <v>15558000000</v>
      </c>
      <c r="D971" s="32" t="s">
        <v>2159</v>
      </c>
      <c r="E971" s="5">
        <f>'ПДФО ГРОМАДИ'!M971</f>
        <v>0</v>
      </c>
      <c r="F971" s="5">
        <f>'ПДФО ГРОМАДИ'!N971</f>
        <v>8965.9</v>
      </c>
    </row>
    <row r="972" spans="1:6" ht="15.75" x14ac:dyDescent="0.25">
      <c r="A972" s="38">
        <v>15</v>
      </c>
      <c r="B972" s="34" t="s">
        <v>984</v>
      </c>
      <c r="C972" s="18">
        <v>15559000000</v>
      </c>
      <c r="D972" s="32" t="s">
        <v>2160</v>
      </c>
      <c r="E972" s="5">
        <f>'ПДФО ГРОМАДИ'!M972</f>
        <v>0</v>
      </c>
      <c r="F972" s="5">
        <f>'ПДФО ГРОМАДИ'!N972</f>
        <v>13669.6</v>
      </c>
    </row>
    <row r="973" spans="1:6" ht="15.75" x14ac:dyDescent="0.25">
      <c r="A973" s="38">
        <v>15</v>
      </c>
      <c r="B973" s="34" t="s">
        <v>985</v>
      </c>
      <c r="C973" s="18">
        <v>15560000000</v>
      </c>
      <c r="D973" s="32" t="s">
        <v>2161</v>
      </c>
      <c r="E973" s="5">
        <f>'ПДФО ГРОМАДИ'!M973</f>
        <v>0</v>
      </c>
      <c r="F973" s="5">
        <f>'ПДФО ГРОМАДИ'!N973</f>
        <v>23985.9</v>
      </c>
    </row>
    <row r="974" spans="1:6" ht="15.75" x14ac:dyDescent="0.25">
      <c r="A974" s="38">
        <v>15</v>
      </c>
      <c r="B974" s="34" t="s">
        <v>985</v>
      </c>
      <c r="C974" s="18">
        <v>15561000000</v>
      </c>
      <c r="D974" s="32" t="s">
        <v>2162</v>
      </c>
      <c r="E974" s="5">
        <f>'ПДФО ГРОМАДИ'!M974</f>
        <v>0</v>
      </c>
      <c r="F974" s="5">
        <f>'ПДФО ГРОМАДИ'!N974</f>
        <v>4549.6000000000004</v>
      </c>
    </row>
    <row r="975" spans="1:6" ht="15.75" x14ac:dyDescent="0.25">
      <c r="A975" s="38">
        <v>15</v>
      </c>
      <c r="B975" s="34" t="s">
        <v>984</v>
      </c>
      <c r="C975" s="18">
        <v>15562000000</v>
      </c>
      <c r="D975" s="32" t="s">
        <v>2163</v>
      </c>
      <c r="E975" s="5">
        <f>'ПДФО ГРОМАДИ'!M975</f>
        <v>2396.1999999999998</v>
      </c>
      <c r="F975" s="5">
        <f>'ПДФО ГРОМАДИ'!N975</f>
        <v>0</v>
      </c>
    </row>
    <row r="976" spans="1:6" ht="15.75" x14ac:dyDescent="0.25">
      <c r="A976" s="38">
        <v>15</v>
      </c>
      <c r="B976" s="34" t="s">
        <v>985</v>
      </c>
      <c r="C976" s="18">
        <v>15563000000</v>
      </c>
      <c r="D976" s="32" t="s">
        <v>2808</v>
      </c>
      <c r="E976" s="5">
        <f>'ПДФО ГРОМАДИ'!M976</f>
        <v>0</v>
      </c>
      <c r="F976" s="5">
        <f>'ПДФО ГРОМАДИ'!N976</f>
        <v>0</v>
      </c>
    </row>
    <row r="977" spans="1:6" ht="15.75" x14ac:dyDescent="0.25">
      <c r="A977" s="38">
        <v>15</v>
      </c>
      <c r="B977" s="34" t="s">
        <v>986</v>
      </c>
      <c r="C977" s="18">
        <v>15564000000</v>
      </c>
      <c r="D977" s="32" t="s">
        <v>2164</v>
      </c>
      <c r="E977" s="5">
        <f>'ПДФО ГРОМАДИ'!M977</f>
        <v>387972.8</v>
      </c>
      <c r="F977" s="5">
        <f>'ПДФО ГРОМАДИ'!N977</f>
        <v>0</v>
      </c>
    </row>
    <row r="978" spans="1:6" ht="15.75" x14ac:dyDescent="0.25">
      <c r="A978" s="38">
        <v>15</v>
      </c>
      <c r="B978" s="34" t="s">
        <v>984</v>
      </c>
      <c r="C978" s="18">
        <v>15565000000</v>
      </c>
      <c r="D978" s="32" t="s">
        <v>1164</v>
      </c>
      <c r="E978" s="5">
        <f>'ПДФО ГРОМАДИ'!M978</f>
        <v>0</v>
      </c>
      <c r="F978" s="5">
        <f>'ПДФО ГРОМАДИ'!N978</f>
        <v>8353.6</v>
      </c>
    </row>
    <row r="979" spans="1:6" ht="15.75" x14ac:dyDescent="0.25">
      <c r="A979" s="38">
        <v>15</v>
      </c>
      <c r="B979" s="34" t="s">
        <v>984</v>
      </c>
      <c r="C979" s="18">
        <v>15566000000</v>
      </c>
      <c r="D979" s="32" t="s">
        <v>2165</v>
      </c>
      <c r="E979" s="5">
        <f>'ПДФО ГРОМАДИ'!M979</f>
        <v>0</v>
      </c>
      <c r="F979" s="5">
        <f>'ПДФО ГРОМАДИ'!N979</f>
        <v>13296.2</v>
      </c>
    </row>
    <row r="980" spans="1:6" ht="15.75" x14ac:dyDescent="0.25">
      <c r="A980" s="38">
        <v>15</v>
      </c>
      <c r="B980" s="34" t="s">
        <v>984</v>
      </c>
      <c r="C980" s="18">
        <v>15567000000</v>
      </c>
      <c r="D980" s="32" t="s">
        <v>1270</v>
      </c>
      <c r="E980" s="5">
        <f>'ПДФО ГРОМАДИ'!M980</f>
        <v>0</v>
      </c>
      <c r="F980" s="5">
        <f>'ПДФО ГРОМАДИ'!N980</f>
        <v>6721</v>
      </c>
    </row>
    <row r="981" spans="1:6" ht="15.75" x14ac:dyDescent="0.25">
      <c r="A981" s="38">
        <v>15</v>
      </c>
      <c r="B981" s="34" t="s">
        <v>984</v>
      </c>
      <c r="C981" s="18">
        <v>15568000000</v>
      </c>
      <c r="D981" s="32" t="s">
        <v>2166</v>
      </c>
      <c r="E981" s="5">
        <f>'ПДФО ГРОМАДИ'!M981</f>
        <v>0</v>
      </c>
      <c r="F981" s="5">
        <f>'ПДФО ГРОМАДИ'!N981</f>
        <v>13150.3</v>
      </c>
    </row>
    <row r="982" spans="1:6" ht="15.75" x14ac:dyDescent="0.25">
      <c r="A982" s="38">
        <v>15</v>
      </c>
      <c r="B982" s="34" t="s">
        <v>986</v>
      </c>
      <c r="C982" s="18">
        <v>15569000000</v>
      </c>
      <c r="D982" s="32" t="s">
        <v>2167</v>
      </c>
      <c r="E982" s="5">
        <f>'ПДФО ГРОМАДИ'!M982</f>
        <v>0</v>
      </c>
      <c r="F982" s="5">
        <f>'ПДФО ГРОМАДИ'!N982</f>
        <v>0</v>
      </c>
    </row>
    <row r="983" spans="1:6" ht="15.75" x14ac:dyDescent="0.25">
      <c r="A983" s="38">
        <v>15</v>
      </c>
      <c r="B983" s="34" t="s">
        <v>985</v>
      </c>
      <c r="C983" s="18">
        <v>15570000000</v>
      </c>
      <c r="D983" s="32" t="s">
        <v>2168</v>
      </c>
      <c r="E983" s="5">
        <f>'ПДФО ГРОМАДИ'!M983</f>
        <v>0</v>
      </c>
      <c r="F983" s="5">
        <f>'ПДФО ГРОМАДИ'!N983</f>
        <v>13406.1</v>
      </c>
    </row>
    <row r="984" spans="1:6" ht="15.75" x14ac:dyDescent="0.25">
      <c r="A984" s="38">
        <v>15</v>
      </c>
      <c r="B984" s="34" t="s">
        <v>983</v>
      </c>
      <c r="C984" s="18">
        <v>15571000000</v>
      </c>
      <c r="D984" s="32" t="s">
        <v>2169</v>
      </c>
      <c r="E984" s="5">
        <f>'ПДФО ГРОМАДИ'!M984</f>
        <v>0</v>
      </c>
      <c r="F984" s="5">
        <f>'ПДФО ГРОМАДИ'!N984</f>
        <v>41018</v>
      </c>
    </row>
    <row r="985" spans="1:6" ht="15.75" x14ac:dyDescent="0.25">
      <c r="A985" s="38">
        <v>15</v>
      </c>
      <c r="B985" s="34" t="s">
        <v>983</v>
      </c>
      <c r="C985" s="18">
        <v>15572000000</v>
      </c>
      <c r="D985" s="32" t="s">
        <v>2170</v>
      </c>
      <c r="E985" s="5">
        <f>'ПДФО ГРОМАДИ'!M985</f>
        <v>0</v>
      </c>
      <c r="F985" s="5">
        <f>'ПДФО ГРОМАДИ'!N985</f>
        <v>34483.9</v>
      </c>
    </row>
    <row r="986" spans="1:6" ht="15.75" x14ac:dyDescent="0.25">
      <c r="A986" s="38">
        <v>15</v>
      </c>
      <c r="B986" s="34" t="s">
        <v>985</v>
      </c>
      <c r="C986" s="18">
        <v>15573000000</v>
      </c>
      <c r="D986" s="32" t="s">
        <v>2171</v>
      </c>
      <c r="E986" s="5">
        <f>'ПДФО ГРОМАДИ'!M986</f>
        <v>0</v>
      </c>
      <c r="F986" s="5">
        <f>'ПДФО ГРОМАДИ'!N986</f>
        <v>19501.900000000001</v>
      </c>
    </row>
    <row r="987" spans="1:6" ht="15.75" x14ac:dyDescent="0.25">
      <c r="A987" s="38">
        <v>15</v>
      </c>
      <c r="B987" s="34" t="s">
        <v>985</v>
      </c>
      <c r="C987" s="18">
        <v>15574000000</v>
      </c>
      <c r="D987" s="32" t="s">
        <v>2172</v>
      </c>
      <c r="E987" s="5">
        <f>'ПДФО ГРОМАДИ'!M987</f>
        <v>0</v>
      </c>
      <c r="F987" s="5">
        <f>'ПДФО ГРОМАДИ'!N987</f>
        <v>5783.6</v>
      </c>
    </row>
    <row r="988" spans="1:6" ht="15.75" x14ac:dyDescent="0.25">
      <c r="A988" s="38">
        <v>15</v>
      </c>
      <c r="B988" s="34" t="s">
        <v>984</v>
      </c>
      <c r="C988" s="18">
        <v>15575000000</v>
      </c>
      <c r="D988" s="32" t="s">
        <v>2841</v>
      </c>
      <c r="E988" s="5">
        <f>'ПДФО ГРОМАДИ'!M988</f>
        <v>0</v>
      </c>
      <c r="F988" s="5">
        <f>'ПДФО ГРОМАДИ'!N988</f>
        <v>72253.899999999994</v>
      </c>
    </row>
    <row r="989" spans="1:6" ht="15.75" x14ac:dyDescent="0.25">
      <c r="A989" s="38">
        <v>15</v>
      </c>
      <c r="B989" s="34" t="s">
        <v>985</v>
      </c>
      <c r="C989" s="18">
        <v>15576000000</v>
      </c>
      <c r="D989" s="32" t="s">
        <v>2173</v>
      </c>
      <c r="E989" s="5">
        <f>'ПДФО ГРОМАДИ'!M989</f>
        <v>0</v>
      </c>
      <c r="F989" s="5">
        <f>'ПДФО ГРОМАДИ'!N989</f>
        <v>11545.7</v>
      </c>
    </row>
    <row r="990" spans="1:6" ht="15.75" x14ac:dyDescent="0.25">
      <c r="A990" s="38">
        <v>15</v>
      </c>
      <c r="B990" s="34" t="s">
        <v>985</v>
      </c>
      <c r="C990" s="18">
        <v>15577000000</v>
      </c>
      <c r="D990" s="32" t="s">
        <v>2174</v>
      </c>
      <c r="E990" s="5">
        <f>'ПДФО ГРОМАДИ'!M990</f>
        <v>0</v>
      </c>
      <c r="F990" s="5">
        <f>'ПДФО ГРОМАДИ'!N990</f>
        <v>5082.1000000000004</v>
      </c>
    </row>
    <row r="991" spans="1:6" ht="15.75" x14ac:dyDescent="0.25">
      <c r="A991" s="38">
        <v>15</v>
      </c>
      <c r="B991" s="34" t="s">
        <v>984</v>
      </c>
      <c r="C991" s="18">
        <v>15578000000</v>
      </c>
      <c r="D991" s="32" t="s">
        <v>2175</v>
      </c>
      <c r="E991" s="5">
        <f>'ПДФО ГРОМАДИ'!M991</f>
        <v>0</v>
      </c>
      <c r="F991" s="5">
        <f>'ПДФО ГРОМАДИ'!N991</f>
        <v>5512.9</v>
      </c>
    </row>
    <row r="992" spans="1:6" ht="15.75" x14ac:dyDescent="0.25">
      <c r="A992" s="38">
        <v>15</v>
      </c>
      <c r="B992" s="34" t="s">
        <v>984</v>
      </c>
      <c r="C992" s="18">
        <v>15579000000</v>
      </c>
      <c r="D992" s="32" t="s">
        <v>2176</v>
      </c>
      <c r="E992" s="5">
        <f>'ПДФО ГРОМАДИ'!M992</f>
        <v>0</v>
      </c>
      <c r="F992" s="5">
        <f>'ПДФО ГРОМАДИ'!N992</f>
        <v>3393.8</v>
      </c>
    </row>
    <row r="993" spans="1:6" ht="15.75" x14ac:dyDescent="0.25">
      <c r="A993" s="38">
        <v>15</v>
      </c>
      <c r="B993" s="34" t="s">
        <v>984</v>
      </c>
      <c r="C993" s="18">
        <v>15580000000</v>
      </c>
      <c r="D993" s="32" t="s">
        <v>2177</v>
      </c>
      <c r="E993" s="5">
        <f>'ПДФО ГРОМАДИ'!M993</f>
        <v>0</v>
      </c>
      <c r="F993" s="5">
        <f>'ПДФО ГРОМАДИ'!N993</f>
        <v>4621.2</v>
      </c>
    </row>
    <row r="994" spans="1:6" ht="15.75" x14ac:dyDescent="0.25">
      <c r="A994" s="38">
        <v>15</v>
      </c>
      <c r="B994" s="34" t="s">
        <v>985</v>
      </c>
      <c r="C994" s="18">
        <v>15581000000</v>
      </c>
      <c r="D994" s="32" t="s">
        <v>2178</v>
      </c>
      <c r="E994" s="5">
        <f>'ПДФО ГРОМАДИ'!M994</f>
        <v>0</v>
      </c>
      <c r="F994" s="5">
        <f>'ПДФО ГРОМАДИ'!N994</f>
        <v>21124.799999999999</v>
      </c>
    </row>
    <row r="995" spans="1:6" ht="15.75" x14ac:dyDescent="0.25">
      <c r="A995" s="38">
        <v>15</v>
      </c>
      <c r="B995" s="34" t="s">
        <v>985</v>
      </c>
      <c r="C995" s="18">
        <v>15582000000</v>
      </c>
      <c r="D995" s="32" t="s">
        <v>2179</v>
      </c>
      <c r="E995" s="5">
        <f>'ПДФО ГРОМАДИ'!M995</f>
        <v>0</v>
      </c>
      <c r="F995" s="5">
        <f>'ПДФО ГРОМАДИ'!N995</f>
        <v>21089.3</v>
      </c>
    </row>
    <row r="996" spans="1:6" ht="15.75" x14ac:dyDescent="0.25">
      <c r="A996" s="38">
        <v>15</v>
      </c>
      <c r="B996" s="34" t="s">
        <v>983</v>
      </c>
      <c r="C996" s="18">
        <v>15583000000</v>
      </c>
      <c r="D996" s="32" t="s">
        <v>2180</v>
      </c>
      <c r="E996" s="5">
        <f>'ПДФО ГРОМАДИ'!M996</f>
        <v>0</v>
      </c>
      <c r="F996" s="5">
        <f>'ПДФО ГРОМАДИ'!N996</f>
        <v>29139.3</v>
      </c>
    </row>
    <row r="997" spans="1:6" ht="15.75" x14ac:dyDescent="0.25">
      <c r="A997" s="38">
        <v>15</v>
      </c>
      <c r="B997" s="34" t="s">
        <v>984</v>
      </c>
      <c r="C997" s="18">
        <v>15584000000</v>
      </c>
      <c r="D997" s="32" t="s">
        <v>2181</v>
      </c>
      <c r="E997" s="5">
        <f>'ПДФО ГРОМАДИ'!M997</f>
        <v>0</v>
      </c>
      <c r="F997" s="5">
        <f>'ПДФО ГРОМАДИ'!N997</f>
        <v>7822.8</v>
      </c>
    </row>
    <row r="998" spans="1:6" ht="15.75" x14ac:dyDescent="0.25">
      <c r="A998" s="38">
        <v>15</v>
      </c>
      <c r="B998" s="34" t="s">
        <v>986</v>
      </c>
      <c r="C998" s="18">
        <v>15585000000</v>
      </c>
      <c r="D998" s="32" t="s">
        <v>2182</v>
      </c>
      <c r="E998" s="5">
        <f>'ПДФО ГРОМАДИ'!M998</f>
        <v>0</v>
      </c>
      <c r="F998" s="5">
        <f>'ПДФО ГРОМАДИ'!N998</f>
        <v>14212.3</v>
      </c>
    </row>
    <row r="999" spans="1:6" ht="15.75" x14ac:dyDescent="0.25">
      <c r="A999" s="38">
        <v>15</v>
      </c>
      <c r="B999" s="34" t="s">
        <v>984</v>
      </c>
      <c r="C999" s="18">
        <v>15586000000</v>
      </c>
      <c r="D999" s="32" t="s">
        <v>2183</v>
      </c>
      <c r="E999" s="5">
        <f>'ПДФО ГРОМАДИ'!M999</f>
        <v>0</v>
      </c>
      <c r="F999" s="5">
        <f>'ПДФО ГРОМАДИ'!N999</f>
        <v>770.2</v>
      </c>
    </row>
    <row r="1000" spans="1:6" ht="15.75" x14ac:dyDescent="0.25">
      <c r="A1000" s="38">
        <v>15</v>
      </c>
      <c r="B1000" s="34" t="s">
        <v>984</v>
      </c>
      <c r="C1000" s="18">
        <v>15587000000</v>
      </c>
      <c r="D1000" s="32" t="s">
        <v>2184</v>
      </c>
      <c r="E1000" s="5">
        <f>'ПДФО ГРОМАДИ'!M1000</f>
        <v>0</v>
      </c>
      <c r="F1000" s="5">
        <f>'ПДФО ГРОМАДИ'!N1000</f>
        <v>8963.5</v>
      </c>
    </row>
    <row r="1001" spans="1:6" ht="15.75" x14ac:dyDescent="0.25">
      <c r="A1001" s="38">
        <v>15</v>
      </c>
      <c r="B1001" s="34" t="s">
        <v>984</v>
      </c>
      <c r="C1001" s="18">
        <v>15588000000</v>
      </c>
      <c r="D1001" s="32" t="s">
        <v>2185</v>
      </c>
      <c r="E1001" s="5">
        <f>'ПДФО ГРОМАДИ'!M1001</f>
        <v>0</v>
      </c>
      <c r="F1001" s="5">
        <f>'ПДФО ГРОМАДИ'!N1001</f>
        <v>3293.3</v>
      </c>
    </row>
    <row r="1002" spans="1:6" ht="15.75" x14ac:dyDescent="0.25">
      <c r="A1002" s="38">
        <v>15</v>
      </c>
      <c r="B1002" s="34" t="s">
        <v>986</v>
      </c>
      <c r="C1002" s="18">
        <v>15589000000</v>
      </c>
      <c r="D1002" s="32" t="s">
        <v>2186</v>
      </c>
      <c r="E1002" s="5">
        <f>'ПДФО ГРОМАДИ'!M1002</f>
        <v>46214.8</v>
      </c>
      <c r="F1002" s="5">
        <f>'ПДФО ГРОМАДИ'!N1002</f>
        <v>0</v>
      </c>
    </row>
    <row r="1003" spans="1:6" ht="15.75" x14ac:dyDescent="0.25">
      <c r="A1003" s="38">
        <v>15</v>
      </c>
      <c r="B1003" s="34" t="s">
        <v>985</v>
      </c>
      <c r="C1003" s="18">
        <v>15590000000</v>
      </c>
      <c r="D1003" s="32" t="s">
        <v>2187</v>
      </c>
      <c r="E1003" s="5">
        <f>'ПДФО ГРОМАДИ'!M1003</f>
        <v>18050.2</v>
      </c>
      <c r="F1003" s="5">
        <f>'ПДФО ГРОМАДИ'!N1003</f>
        <v>0</v>
      </c>
    </row>
    <row r="1004" spans="1:6" ht="15.75" x14ac:dyDescent="0.25">
      <c r="A1004" s="38">
        <v>15</v>
      </c>
      <c r="B1004" s="34" t="s">
        <v>986</v>
      </c>
      <c r="C1004" s="18">
        <v>15591000000</v>
      </c>
      <c r="D1004" s="32" t="s">
        <v>2188</v>
      </c>
      <c r="E1004" s="5">
        <f>'ПДФО ГРОМАДИ'!M1004</f>
        <v>93816.8</v>
      </c>
      <c r="F1004" s="5">
        <f>'ПДФО ГРОМАДИ'!N1004</f>
        <v>0</v>
      </c>
    </row>
    <row r="1005" spans="1:6" ht="15.75" x14ac:dyDescent="0.25">
      <c r="A1005" s="36">
        <v>16</v>
      </c>
      <c r="B1005" s="17" t="s">
        <v>7</v>
      </c>
      <c r="C1005" s="17" t="s">
        <v>799</v>
      </c>
      <c r="D1005" s="11" t="s">
        <v>18</v>
      </c>
      <c r="E1005" s="11">
        <f>E1006+E1007+E1012</f>
        <v>740108.5</v>
      </c>
      <c r="F1005" s="11">
        <f>F1006+F1007+F1012</f>
        <v>130761.69999999998</v>
      </c>
    </row>
    <row r="1006" spans="1:6" ht="15.75" x14ac:dyDescent="0.25">
      <c r="A1006" s="38">
        <v>16</v>
      </c>
      <c r="B1006" s="34" t="s">
        <v>6</v>
      </c>
      <c r="C1006" s="18" t="s">
        <v>144</v>
      </c>
      <c r="D1006" s="32" t="s">
        <v>854</v>
      </c>
      <c r="E1006" s="5">
        <f>'ПДФО ОБЛАСНІ'!K18+'ПОДАТОК НА ПРИБУТОК'!K18</f>
        <v>155978.09999999998</v>
      </c>
      <c r="F1006" s="5">
        <f>'ПДФО ОБЛАСНІ'!L18+'ПОДАТОК НА ПРИБУТОК'!L18</f>
        <v>0</v>
      </c>
    </row>
    <row r="1007" spans="1:6" ht="15.75" x14ac:dyDescent="0.25">
      <c r="A1007" s="37">
        <v>16</v>
      </c>
      <c r="B1007" s="19" t="s">
        <v>5</v>
      </c>
      <c r="C1007" s="19" t="s">
        <v>800</v>
      </c>
      <c r="D1007" s="7" t="s">
        <v>2809</v>
      </c>
      <c r="E1007" s="7">
        <f>SUM(E1008:E1011)</f>
        <v>0</v>
      </c>
      <c r="F1007" s="7">
        <f>SUM(F1008:F1011)</f>
        <v>0</v>
      </c>
    </row>
    <row r="1008" spans="1:6" ht="15.75" x14ac:dyDescent="0.25">
      <c r="A1008" s="38">
        <v>16</v>
      </c>
      <c r="B1008" s="34" t="s">
        <v>4</v>
      </c>
      <c r="C1008" s="18" t="s">
        <v>145</v>
      </c>
      <c r="D1008" s="32" t="s">
        <v>937</v>
      </c>
      <c r="E1008" s="5">
        <f>'ПДФО ГРОМАДИ'!M1008</f>
        <v>0</v>
      </c>
      <c r="F1008" s="5">
        <f>'ПДФО ГРОМАДИ'!N1008</f>
        <v>0</v>
      </c>
    </row>
    <row r="1009" spans="1:6" ht="15.75" x14ac:dyDescent="0.25">
      <c r="A1009" s="38">
        <v>16</v>
      </c>
      <c r="B1009" s="34" t="s">
        <v>4</v>
      </c>
      <c r="C1009" s="18" t="s">
        <v>146</v>
      </c>
      <c r="D1009" s="32" t="s">
        <v>938</v>
      </c>
      <c r="E1009" s="5">
        <f>'ПДФО ГРОМАДИ'!M1009</f>
        <v>0</v>
      </c>
      <c r="F1009" s="5">
        <f>'ПДФО ГРОМАДИ'!N1009</f>
        <v>0</v>
      </c>
    </row>
    <row r="1010" spans="1:6" ht="15.75" x14ac:dyDescent="0.25">
      <c r="A1010" s="38">
        <v>16</v>
      </c>
      <c r="B1010" s="34" t="s">
        <v>4</v>
      </c>
      <c r="C1010" s="18" t="s">
        <v>147</v>
      </c>
      <c r="D1010" s="32" t="s">
        <v>939</v>
      </c>
      <c r="E1010" s="5">
        <f>'ПДФО ГРОМАДИ'!M1010</f>
        <v>0</v>
      </c>
      <c r="F1010" s="5">
        <f>'ПДФО ГРОМАДИ'!N1010</f>
        <v>0</v>
      </c>
    </row>
    <row r="1011" spans="1:6" ht="15.75" x14ac:dyDescent="0.25">
      <c r="A1011" s="38">
        <v>16</v>
      </c>
      <c r="B1011" s="34" t="s">
        <v>4</v>
      </c>
      <c r="C1011" s="18" t="s">
        <v>148</v>
      </c>
      <c r="D1011" s="32" t="s">
        <v>940</v>
      </c>
      <c r="E1011" s="5">
        <f>'ПДФО ГРОМАДИ'!M1011</f>
        <v>0</v>
      </c>
      <c r="F1011" s="5">
        <f>'ПДФО ГРОМАДИ'!N1011</f>
        <v>0</v>
      </c>
    </row>
    <row r="1012" spans="1:6" ht="15.75" x14ac:dyDescent="0.25">
      <c r="A1012" s="37">
        <v>16</v>
      </c>
      <c r="B1012" s="19" t="s">
        <v>28</v>
      </c>
      <c r="C1012" s="19" t="s">
        <v>801</v>
      </c>
      <c r="D1012" s="20" t="s">
        <v>2782</v>
      </c>
      <c r="E1012" s="7">
        <f>SUM(E1013:E1072)</f>
        <v>584130.4</v>
      </c>
      <c r="F1012" s="7">
        <f>SUM(F1013:F1072)</f>
        <v>130761.69999999998</v>
      </c>
    </row>
    <row r="1013" spans="1:6" ht="15.75" x14ac:dyDescent="0.25">
      <c r="A1013" s="38">
        <v>16</v>
      </c>
      <c r="B1013" s="34" t="s">
        <v>984</v>
      </c>
      <c r="C1013" s="18" t="s">
        <v>149</v>
      </c>
      <c r="D1013" s="32" t="s">
        <v>2189</v>
      </c>
      <c r="E1013" s="5">
        <f>'ПДФО ГРОМАДИ'!M1013</f>
        <v>6471.8</v>
      </c>
      <c r="F1013" s="5">
        <f>'ПДФО ГРОМАДИ'!N1013</f>
        <v>0</v>
      </c>
    </row>
    <row r="1014" spans="1:6" ht="15.75" x14ac:dyDescent="0.25">
      <c r="A1014" s="38">
        <v>16</v>
      </c>
      <c r="B1014" s="34" t="s">
        <v>983</v>
      </c>
      <c r="C1014" s="18" t="s">
        <v>150</v>
      </c>
      <c r="D1014" s="32" t="s">
        <v>2190</v>
      </c>
      <c r="E1014" s="5">
        <f>'ПДФО ГРОМАДИ'!M1014</f>
        <v>23137.8</v>
      </c>
      <c r="F1014" s="5">
        <f>'ПДФО ГРОМАДИ'!N1014</f>
        <v>0</v>
      </c>
    </row>
    <row r="1015" spans="1:6" ht="15.75" x14ac:dyDescent="0.25">
      <c r="A1015" s="38">
        <v>16</v>
      </c>
      <c r="B1015" s="34" t="s">
        <v>984</v>
      </c>
      <c r="C1015" s="18" t="s">
        <v>151</v>
      </c>
      <c r="D1015" s="32" t="s">
        <v>2191</v>
      </c>
      <c r="E1015" s="5">
        <f>'ПДФО ГРОМАДИ'!M1015</f>
        <v>0</v>
      </c>
      <c r="F1015" s="5">
        <f>'ПДФО ГРОМАДИ'!N1015</f>
        <v>1027</v>
      </c>
    </row>
    <row r="1016" spans="1:6" ht="15.75" x14ac:dyDescent="0.25">
      <c r="A1016" s="38">
        <v>16</v>
      </c>
      <c r="B1016" s="34" t="s">
        <v>983</v>
      </c>
      <c r="C1016" s="18" t="s">
        <v>152</v>
      </c>
      <c r="D1016" s="32" t="s">
        <v>2192</v>
      </c>
      <c r="E1016" s="5">
        <f>'ПДФО ГРОМАДИ'!M1016</f>
        <v>0</v>
      </c>
      <c r="F1016" s="5">
        <f>'ПДФО ГРОМАДИ'!N1016</f>
        <v>372.5</v>
      </c>
    </row>
    <row r="1017" spans="1:6" ht="15.75" x14ac:dyDescent="0.25">
      <c r="A1017" s="38">
        <v>16</v>
      </c>
      <c r="B1017" s="34" t="s">
        <v>984</v>
      </c>
      <c r="C1017" s="18" t="s">
        <v>153</v>
      </c>
      <c r="D1017" s="32" t="s">
        <v>1270</v>
      </c>
      <c r="E1017" s="5">
        <f>'ПДФО ГРОМАДИ'!M1017</f>
        <v>0</v>
      </c>
      <c r="F1017" s="5">
        <f>'ПДФО ГРОМАДИ'!N1017</f>
        <v>5252.4</v>
      </c>
    </row>
    <row r="1018" spans="1:6" ht="15.75" x14ac:dyDescent="0.25">
      <c r="A1018" s="38">
        <v>16</v>
      </c>
      <c r="B1018" s="34" t="s">
        <v>984</v>
      </c>
      <c r="C1018" s="18" t="s">
        <v>154</v>
      </c>
      <c r="D1018" s="32" t="s">
        <v>2193</v>
      </c>
      <c r="E1018" s="5">
        <f>'ПДФО ГРОМАДИ'!M1018</f>
        <v>0</v>
      </c>
      <c r="F1018" s="5">
        <f>'ПДФО ГРОМАДИ'!N1018</f>
        <v>2211.9</v>
      </c>
    </row>
    <row r="1019" spans="1:6" ht="15.75" x14ac:dyDescent="0.25">
      <c r="A1019" s="38">
        <v>16</v>
      </c>
      <c r="B1019" s="34" t="s">
        <v>985</v>
      </c>
      <c r="C1019" s="18" t="s">
        <v>155</v>
      </c>
      <c r="D1019" s="32" t="s">
        <v>2194</v>
      </c>
      <c r="E1019" s="5">
        <f>'ПДФО ГРОМАДИ'!M1019</f>
        <v>0</v>
      </c>
      <c r="F1019" s="5">
        <f>'ПДФО ГРОМАДИ'!N1019</f>
        <v>1059.5999999999999</v>
      </c>
    </row>
    <row r="1020" spans="1:6" ht="15.75" x14ac:dyDescent="0.25">
      <c r="A1020" s="38">
        <v>16</v>
      </c>
      <c r="B1020" s="34" t="s">
        <v>985</v>
      </c>
      <c r="C1020" s="18" t="s">
        <v>156</v>
      </c>
      <c r="D1020" s="32" t="s">
        <v>2195</v>
      </c>
      <c r="E1020" s="5">
        <f>'ПДФО ГРОМАДИ'!M1020</f>
        <v>8789.2000000000007</v>
      </c>
      <c r="F1020" s="5">
        <f>'ПДФО ГРОМАДИ'!N1020</f>
        <v>0</v>
      </c>
    </row>
    <row r="1021" spans="1:6" ht="15.75" x14ac:dyDescent="0.25">
      <c r="A1021" s="38">
        <v>16</v>
      </c>
      <c r="B1021" s="34" t="s">
        <v>985</v>
      </c>
      <c r="C1021" s="18" t="s">
        <v>287</v>
      </c>
      <c r="D1021" s="32" t="s">
        <v>2196</v>
      </c>
      <c r="E1021" s="5">
        <f>'ПДФО ГРОМАДИ'!M1021</f>
        <v>0</v>
      </c>
      <c r="F1021" s="5">
        <f>'ПДФО ГРОМАДИ'!N1021</f>
        <v>2608.6999999999998</v>
      </c>
    </row>
    <row r="1022" spans="1:6" ht="15.75" x14ac:dyDescent="0.25">
      <c r="A1022" s="38">
        <v>16</v>
      </c>
      <c r="B1022" s="34" t="s">
        <v>983</v>
      </c>
      <c r="C1022" s="18" t="s">
        <v>404</v>
      </c>
      <c r="D1022" s="32" t="s">
        <v>2197</v>
      </c>
      <c r="E1022" s="5">
        <f>'ПДФО ГРОМАДИ'!M1022</f>
        <v>0</v>
      </c>
      <c r="F1022" s="5">
        <f>'ПДФО ГРОМАДИ'!N1022</f>
        <v>0</v>
      </c>
    </row>
    <row r="1023" spans="1:6" ht="15.75" x14ac:dyDescent="0.25">
      <c r="A1023" s="38">
        <v>16</v>
      </c>
      <c r="B1023" s="34" t="s">
        <v>984</v>
      </c>
      <c r="C1023" s="18" t="s">
        <v>405</v>
      </c>
      <c r="D1023" s="32" t="s">
        <v>2198</v>
      </c>
      <c r="E1023" s="5">
        <f>'ПДФО ГРОМАДИ'!M1023</f>
        <v>409.2</v>
      </c>
      <c r="F1023" s="5">
        <f>'ПДФО ГРОМАДИ'!N1023</f>
        <v>0</v>
      </c>
    </row>
    <row r="1024" spans="1:6" ht="15.75" x14ac:dyDescent="0.25">
      <c r="A1024" s="38">
        <v>16</v>
      </c>
      <c r="B1024" s="34" t="s">
        <v>984</v>
      </c>
      <c r="C1024" s="18" t="s">
        <v>406</v>
      </c>
      <c r="D1024" s="32" t="s">
        <v>2199</v>
      </c>
      <c r="E1024" s="5">
        <f>'ПДФО ГРОМАДИ'!M1024</f>
        <v>0</v>
      </c>
      <c r="F1024" s="5">
        <f>'ПДФО ГРОМАДИ'!N1024</f>
        <v>0</v>
      </c>
    </row>
    <row r="1025" spans="1:6" ht="15.75" x14ac:dyDescent="0.25">
      <c r="A1025" s="38">
        <v>16</v>
      </c>
      <c r="B1025" s="34" t="s">
        <v>985</v>
      </c>
      <c r="C1025" s="18" t="s">
        <v>492</v>
      </c>
      <c r="D1025" s="32" t="s">
        <v>2200</v>
      </c>
      <c r="E1025" s="5">
        <f>'ПДФО ГРОМАДИ'!M1025</f>
        <v>0</v>
      </c>
      <c r="F1025" s="5">
        <f>'ПДФО ГРОМАДИ'!N1025</f>
        <v>0</v>
      </c>
    </row>
    <row r="1026" spans="1:6" ht="15.75" x14ac:dyDescent="0.25">
      <c r="A1026" s="38">
        <v>16</v>
      </c>
      <c r="B1026" s="34" t="s">
        <v>983</v>
      </c>
      <c r="C1026" s="18" t="s">
        <v>598</v>
      </c>
      <c r="D1026" s="32" t="s">
        <v>2201</v>
      </c>
      <c r="E1026" s="5">
        <f>'ПДФО ГРОМАДИ'!M1026</f>
        <v>0</v>
      </c>
      <c r="F1026" s="5">
        <f>'ПДФО ГРОМАДИ'!N1026</f>
        <v>0</v>
      </c>
    </row>
    <row r="1027" spans="1:6" ht="15.75" x14ac:dyDescent="0.25">
      <c r="A1027" s="38">
        <v>16</v>
      </c>
      <c r="B1027" s="34" t="s">
        <v>984</v>
      </c>
      <c r="C1027" s="18" t="s">
        <v>599</v>
      </c>
      <c r="D1027" s="32" t="s">
        <v>2202</v>
      </c>
      <c r="E1027" s="5">
        <f>'ПДФО ГРОМАДИ'!M1027</f>
        <v>0</v>
      </c>
      <c r="F1027" s="5">
        <f>'ПДФО ГРОМАДИ'!N1027</f>
        <v>0</v>
      </c>
    </row>
    <row r="1028" spans="1:6" ht="15.75" x14ac:dyDescent="0.25">
      <c r="A1028" s="38">
        <v>16</v>
      </c>
      <c r="B1028" s="34" t="s">
        <v>983</v>
      </c>
      <c r="C1028" s="18" t="s">
        <v>600</v>
      </c>
      <c r="D1028" s="32" t="s">
        <v>2203</v>
      </c>
      <c r="E1028" s="5">
        <f>'ПДФО ГРОМАДИ'!M1028</f>
        <v>4166.3</v>
      </c>
      <c r="F1028" s="5">
        <f>'ПДФО ГРОМАДИ'!N1028</f>
        <v>0</v>
      </c>
    </row>
    <row r="1029" spans="1:6" ht="15.75" x14ac:dyDescent="0.25">
      <c r="A1029" s="38">
        <v>16</v>
      </c>
      <c r="B1029" s="34" t="s">
        <v>984</v>
      </c>
      <c r="C1029" s="18" t="s">
        <v>601</v>
      </c>
      <c r="D1029" s="32" t="s">
        <v>1631</v>
      </c>
      <c r="E1029" s="5">
        <f>'ПДФО ГРОМАДИ'!M1029</f>
        <v>7609.5</v>
      </c>
      <c r="F1029" s="5">
        <f>'ПДФО ГРОМАДИ'!N1029</f>
        <v>0</v>
      </c>
    </row>
    <row r="1030" spans="1:6" s="24" customFormat="1" ht="15.75" x14ac:dyDescent="0.25">
      <c r="A1030" s="38">
        <v>16</v>
      </c>
      <c r="B1030" s="34" t="s">
        <v>984</v>
      </c>
      <c r="C1030" s="18" t="s">
        <v>602</v>
      </c>
      <c r="D1030" s="32" t="s">
        <v>2204</v>
      </c>
      <c r="E1030" s="5">
        <f>'ПДФО ГРОМАДИ'!M1030</f>
        <v>5701.3</v>
      </c>
      <c r="F1030" s="5">
        <f>'ПДФО ГРОМАДИ'!N1030</f>
        <v>0</v>
      </c>
    </row>
    <row r="1031" spans="1:6" s="24" customFormat="1" ht="15.75" x14ac:dyDescent="0.25">
      <c r="A1031" s="38">
        <v>16</v>
      </c>
      <c r="B1031" s="34" t="s">
        <v>984</v>
      </c>
      <c r="C1031" s="18" t="s">
        <v>603</v>
      </c>
      <c r="D1031" s="32" t="s">
        <v>2205</v>
      </c>
      <c r="E1031" s="5">
        <f>'ПДФО ГРОМАДИ'!M1031</f>
        <v>3113.5</v>
      </c>
      <c r="F1031" s="5">
        <f>'ПДФО ГРОМАДИ'!N1031</f>
        <v>0</v>
      </c>
    </row>
    <row r="1032" spans="1:6" s="24" customFormat="1" ht="15.75" x14ac:dyDescent="0.25">
      <c r="A1032" s="38">
        <v>16</v>
      </c>
      <c r="B1032" s="34" t="s">
        <v>985</v>
      </c>
      <c r="C1032" s="18" t="s">
        <v>604</v>
      </c>
      <c r="D1032" s="32" t="s">
        <v>2206</v>
      </c>
      <c r="E1032" s="5">
        <f>'ПДФО ГРОМАДИ'!M1032</f>
        <v>0</v>
      </c>
      <c r="F1032" s="5">
        <f>'ПДФО ГРОМАДИ'!N1032</f>
        <v>11522.8</v>
      </c>
    </row>
    <row r="1033" spans="1:6" s="24" customFormat="1" ht="15.75" x14ac:dyDescent="0.25">
      <c r="A1033" s="38">
        <v>16</v>
      </c>
      <c r="B1033" s="34" t="s">
        <v>985</v>
      </c>
      <c r="C1033" s="18" t="s">
        <v>605</v>
      </c>
      <c r="D1033" s="32" t="s">
        <v>2207</v>
      </c>
      <c r="E1033" s="5">
        <f>'ПДФО ГРОМАДИ'!M1033</f>
        <v>0</v>
      </c>
      <c r="F1033" s="5">
        <f>'ПДФО ГРОМАДИ'!N1033</f>
        <v>2540.5</v>
      </c>
    </row>
    <row r="1034" spans="1:6" s="24" customFormat="1" ht="15.75" x14ac:dyDescent="0.25">
      <c r="A1034" s="38">
        <v>16</v>
      </c>
      <c r="B1034" s="34" t="s">
        <v>984</v>
      </c>
      <c r="C1034" s="18" t="s">
        <v>606</v>
      </c>
      <c r="D1034" s="32" t="s">
        <v>2208</v>
      </c>
      <c r="E1034" s="5">
        <f>'ПДФО ГРОМАДИ'!M1034</f>
        <v>426.4</v>
      </c>
      <c r="F1034" s="5">
        <f>'ПДФО ГРОМАДИ'!N1034</f>
        <v>0</v>
      </c>
    </row>
    <row r="1035" spans="1:6" ht="15.75" x14ac:dyDescent="0.25">
      <c r="A1035" s="38">
        <v>16</v>
      </c>
      <c r="B1035" s="34" t="s">
        <v>984</v>
      </c>
      <c r="C1035" s="18" t="s">
        <v>708</v>
      </c>
      <c r="D1035" s="32" t="s">
        <v>2209</v>
      </c>
      <c r="E1035" s="5">
        <f>'ПДФО ГРОМАДИ'!M1035</f>
        <v>0</v>
      </c>
      <c r="F1035" s="5">
        <f>'ПДФО ГРОМАДИ'!N1035</f>
        <v>3002.8</v>
      </c>
    </row>
    <row r="1036" spans="1:6" ht="15.75" x14ac:dyDescent="0.25">
      <c r="A1036" s="38">
        <v>16</v>
      </c>
      <c r="B1036" s="34" t="s">
        <v>985</v>
      </c>
      <c r="C1036" s="18" t="s">
        <v>709</v>
      </c>
      <c r="D1036" s="32" t="s">
        <v>2210</v>
      </c>
      <c r="E1036" s="5">
        <f>'ПДФО ГРОМАДИ'!M1036</f>
        <v>0</v>
      </c>
      <c r="F1036" s="5">
        <f>'ПДФО ГРОМАДИ'!N1036</f>
        <v>636.1</v>
      </c>
    </row>
    <row r="1037" spans="1:6" ht="15.75" x14ac:dyDescent="0.25">
      <c r="A1037" s="38">
        <v>16</v>
      </c>
      <c r="B1037" s="34" t="s">
        <v>985</v>
      </c>
      <c r="C1037" s="18" t="s">
        <v>710</v>
      </c>
      <c r="D1037" s="32" t="s">
        <v>2211</v>
      </c>
      <c r="E1037" s="5">
        <f>'ПДФО ГРОМАДИ'!M1037</f>
        <v>16955.7</v>
      </c>
      <c r="F1037" s="5">
        <f>'ПДФО ГРОМАДИ'!N1037</f>
        <v>0</v>
      </c>
    </row>
    <row r="1038" spans="1:6" ht="15.75" x14ac:dyDescent="0.25">
      <c r="A1038" s="38">
        <v>16</v>
      </c>
      <c r="B1038" s="34" t="s">
        <v>984</v>
      </c>
      <c r="C1038" s="18" t="s">
        <v>711</v>
      </c>
      <c r="D1038" s="32" t="s">
        <v>2212</v>
      </c>
      <c r="E1038" s="5">
        <f>'ПДФО ГРОМАДИ'!M1038</f>
        <v>3679</v>
      </c>
      <c r="F1038" s="5">
        <f>'ПДФО ГРОМАДИ'!N1038</f>
        <v>0</v>
      </c>
    </row>
    <row r="1039" spans="1:6" ht="15.75" x14ac:dyDescent="0.25">
      <c r="A1039" s="38">
        <v>16</v>
      </c>
      <c r="B1039" s="34" t="s">
        <v>984</v>
      </c>
      <c r="C1039" s="18" t="s">
        <v>712</v>
      </c>
      <c r="D1039" s="32" t="s">
        <v>2213</v>
      </c>
      <c r="E1039" s="5">
        <f>'ПДФО ГРОМАДИ'!M1039</f>
        <v>0</v>
      </c>
      <c r="F1039" s="5">
        <f>'ПДФО ГРОМАДИ'!N1039</f>
        <v>1484.2</v>
      </c>
    </row>
    <row r="1040" spans="1:6" ht="15.75" x14ac:dyDescent="0.25">
      <c r="A1040" s="38">
        <v>16</v>
      </c>
      <c r="B1040" s="34" t="s">
        <v>984</v>
      </c>
      <c r="C1040" s="18" t="s">
        <v>713</v>
      </c>
      <c r="D1040" s="32" t="s">
        <v>2214</v>
      </c>
      <c r="E1040" s="5">
        <f>'ПДФО ГРОМАДИ'!M1040</f>
        <v>0</v>
      </c>
      <c r="F1040" s="5">
        <f>'ПДФО ГРОМАДИ'!N1040</f>
        <v>4839.8</v>
      </c>
    </row>
    <row r="1041" spans="1:6" ht="15.75" x14ac:dyDescent="0.25">
      <c r="A1041" s="38">
        <v>16</v>
      </c>
      <c r="B1041" s="34" t="s">
        <v>984</v>
      </c>
      <c r="C1041" s="18">
        <v>16540000000</v>
      </c>
      <c r="D1041" s="32" t="s">
        <v>2215</v>
      </c>
      <c r="E1041" s="5">
        <f>'ПДФО ГРОМАДИ'!M1041</f>
        <v>0</v>
      </c>
      <c r="F1041" s="5">
        <f>'ПДФО ГРОМАДИ'!N1041</f>
        <v>8929.2999999999993</v>
      </c>
    </row>
    <row r="1042" spans="1:6" ht="15.75" x14ac:dyDescent="0.25">
      <c r="A1042" s="38">
        <v>16</v>
      </c>
      <c r="B1042" s="34" t="s">
        <v>984</v>
      </c>
      <c r="C1042" s="18">
        <v>16541000000</v>
      </c>
      <c r="D1042" s="32" t="s">
        <v>2216</v>
      </c>
      <c r="E1042" s="5">
        <f>'ПДФО ГРОМАДИ'!M1042</f>
        <v>0</v>
      </c>
      <c r="F1042" s="5">
        <f>'ПДФО ГРОМАДИ'!N1042</f>
        <v>3000.6</v>
      </c>
    </row>
    <row r="1043" spans="1:6" ht="15.75" x14ac:dyDescent="0.25">
      <c r="A1043" s="38">
        <v>16</v>
      </c>
      <c r="B1043" s="34" t="s">
        <v>984</v>
      </c>
      <c r="C1043" s="18">
        <v>16542000000</v>
      </c>
      <c r="D1043" s="32" t="s">
        <v>2217</v>
      </c>
      <c r="E1043" s="5">
        <f>'ПДФО ГРОМАДИ'!M1043</f>
        <v>0</v>
      </c>
      <c r="F1043" s="5">
        <f>'ПДФО ГРОМАДИ'!N1043</f>
        <v>0</v>
      </c>
    </row>
    <row r="1044" spans="1:6" ht="15.75" x14ac:dyDescent="0.25">
      <c r="A1044" s="38">
        <v>16</v>
      </c>
      <c r="B1044" s="34" t="s">
        <v>985</v>
      </c>
      <c r="C1044" s="18">
        <v>16543000000</v>
      </c>
      <c r="D1044" s="32" t="s">
        <v>2218</v>
      </c>
      <c r="E1044" s="5">
        <f>'ПДФО ГРОМАДИ'!M1044</f>
        <v>4410.1000000000004</v>
      </c>
      <c r="F1044" s="5">
        <f>'ПДФО ГРОМАДИ'!N1044</f>
        <v>0</v>
      </c>
    </row>
    <row r="1045" spans="1:6" ht="15.75" x14ac:dyDescent="0.25">
      <c r="A1045" s="38">
        <v>16</v>
      </c>
      <c r="B1045" s="34" t="s">
        <v>985</v>
      </c>
      <c r="C1045" s="18">
        <v>16544000000</v>
      </c>
      <c r="D1045" s="32" t="s">
        <v>2219</v>
      </c>
      <c r="E1045" s="5">
        <f>'ПДФО ГРОМАДИ'!M1045</f>
        <v>0</v>
      </c>
      <c r="F1045" s="5">
        <f>'ПДФО ГРОМАДИ'!N1045</f>
        <v>0</v>
      </c>
    </row>
    <row r="1046" spans="1:6" ht="15.75" x14ac:dyDescent="0.25">
      <c r="A1046" s="38">
        <v>16</v>
      </c>
      <c r="B1046" s="34" t="s">
        <v>986</v>
      </c>
      <c r="C1046" s="18">
        <v>16545000000</v>
      </c>
      <c r="D1046" s="32" t="s">
        <v>2220</v>
      </c>
      <c r="E1046" s="5">
        <f>'ПДФО ГРОМАДИ'!M1046</f>
        <v>0</v>
      </c>
      <c r="F1046" s="5">
        <f>'ПДФО ГРОМАДИ'!N1046</f>
        <v>9330.1</v>
      </c>
    </row>
    <row r="1047" spans="1:6" ht="15.75" x14ac:dyDescent="0.25">
      <c r="A1047" s="38">
        <v>16</v>
      </c>
      <c r="B1047" s="34" t="s">
        <v>986</v>
      </c>
      <c r="C1047" s="18">
        <v>16546000000</v>
      </c>
      <c r="D1047" s="32" t="s">
        <v>2221</v>
      </c>
      <c r="E1047" s="5">
        <f>'ПДФО ГРОМАДИ'!M1047</f>
        <v>99115.6</v>
      </c>
      <c r="F1047" s="5">
        <f>'ПДФО ГРОМАДИ'!N1047</f>
        <v>0</v>
      </c>
    </row>
    <row r="1048" spans="1:6" ht="15.75" x14ac:dyDescent="0.25">
      <c r="A1048" s="38">
        <v>16</v>
      </c>
      <c r="B1048" s="34" t="s">
        <v>984</v>
      </c>
      <c r="C1048" s="18">
        <v>16547000000</v>
      </c>
      <c r="D1048" s="32" t="s">
        <v>2222</v>
      </c>
      <c r="E1048" s="5">
        <f>'ПДФО ГРОМАДИ'!M1048</f>
        <v>4594.2</v>
      </c>
      <c r="F1048" s="5">
        <f>'ПДФО ГРОМАДИ'!N1048</f>
        <v>0</v>
      </c>
    </row>
    <row r="1049" spans="1:6" ht="15.75" x14ac:dyDescent="0.25">
      <c r="A1049" s="38">
        <v>16</v>
      </c>
      <c r="B1049" s="34" t="s">
        <v>984</v>
      </c>
      <c r="C1049" s="18">
        <v>16548000000</v>
      </c>
      <c r="D1049" s="32" t="s">
        <v>2223</v>
      </c>
      <c r="E1049" s="5">
        <f>'ПДФО ГРОМАДИ'!M1049</f>
        <v>489.6</v>
      </c>
      <c r="F1049" s="5">
        <f>'ПДФО ГРОМАДИ'!N1049</f>
        <v>0</v>
      </c>
    </row>
    <row r="1050" spans="1:6" ht="15.75" x14ac:dyDescent="0.25">
      <c r="A1050" s="38">
        <v>16</v>
      </c>
      <c r="B1050" s="34" t="s">
        <v>985</v>
      </c>
      <c r="C1050" s="18">
        <v>16549000000</v>
      </c>
      <c r="D1050" s="32" t="s">
        <v>2224</v>
      </c>
      <c r="E1050" s="5">
        <f>'ПДФО ГРОМАДИ'!M1050</f>
        <v>1073.0999999999999</v>
      </c>
      <c r="F1050" s="5">
        <f>'ПДФО ГРОМАДИ'!N1050</f>
        <v>0</v>
      </c>
    </row>
    <row r="1051" spans="1:6" ht="15.75" x14ac:dyDescent="0.25">
      <c r="A1051" s="38">
        <v>16</v>
      </c>
      <c r="B1051" s="34" t="s">
        <v>983</v>
      </c>
      <c r="C1051" s="18">
        <v>16550000000</v>
      </c>
      <c r="D1051" s="32" t="s">
        <v>2225</v>
      </c>
      <c r="E1051" s="5">
        <f>'ПДФО ГРОМАДИ'!M1051</f>
        <v>0</v>
      </c>
      <c r="F1051" s="5">
        <f>'ПДФО ГРОМАДИ'!N1051</f>
        <v>0</v>
      </c>
    </row>
    <row r="1052" spans="1:6" ht="15.75" x14ac:dyDescent="0.25">
      <c r="A1052" s="38">
        <v>16</v>
      </c>
      <c r="B1052" s="34" t="s">
        <v>985</v>
      </c>
      <c r="C1052" s="18">
        <v>16551000000</v>
      </c>
      <c r="D1052" s="32" t="s">
        <v>2226</v>
      </c>
      <c r="E1052" s="5">
        <f>'ПДФО ГРОМАДИ'!M1052</f>
        <v>0</v>
      </c>
      <c r="F1052" s="5">
        <f>'ПДФО ГРОМАДИ'!N1052</f>
        <v>0</v>
      </c>
    </row>
    <row r="1053" spans="1:6" ht="15.75" x14ac:dyDescent="0.25">
      <c r="A1053" s="38">
        <v>16</v>
      </c>
      <c r="B1053" s="34" t="s">
        <v>985</v>
      </c>
      <c r="C1053" s="18">
        <v>16553000000</v>
      </c>
      <c r="D1053" s="32" t="s">
        <v>2227</v>
      </c>
      <c r="E1053" s="5">
        <f>'ПДФО ГРОМАДИ'!M1053</f>
        <v>0</v>
      </c>
      <c r="F1053" s="5">
        <f>'ПДФО ГРОМАДИ'!N1053</f>
        <v>5862.9</v>
      </c>
    </row>
    <row r="1054" spans="1:6" ht="15.75" x14ac:dyDescent="0.25">
      <c r="A1054" s="38">
        <v>16</v>
      </c>
      <c r="B1054" s="34" t="s">
        <v>985</v>
      </c>
      <c r="C1054" s="89">
        <v>16554000000</v>
      </c>
      <c r="D1054" s="32" t="s">
        <v>2228</v>
      </c>
      <c r="E1054" s="5">
        <f>'ПДФО ГРОМАДИ'!M1054</f>
        <v>0</v>
      </c>
      <c r="F1054" s="5">
        <f>'ПДФО ГРОМАДИ'!N1054</f>
        <v>2343.8000000000002</v>
      </c>
    </row>
    <row r="1055" spans="1:6" ht="15.75" x14ac:dyDescent="0.25">
      <c r="A1055" s="38">
        <v>16</v>
      </c>
      <c r="B1055" s="34" t="s">
        <v>984</v>
      </c>
      <c r="C1055" s="18">
        <v>16555000000</v>
      </c>
      <c r="D1055" s="32" t="s">
        <v>2229</v>
      </c>
      <c r="E1055" s="5">
        <f>'ПДФО ГРОМАДИ'!M1055</f>
        <v>0</v>
      </c>
      <c r="F1055" s="5">
        <f>'ПДФО ГРОМАДИ'!N1055</f>
        <v>1792.7</v>
      </c>
    </row>
    <row r="1056" spans="1:6" ht="15.75" x14ac:dyDescent="0.25">
      <c r="A1056" s="38">
        <v>16</v>
      </c>
      <c r="B1056" s="34" t="s">
        <v>985</v>
      </c>
      <c r="C1056" s="18">
        <v>16556000000</v>
      </c>
      <c r="D1056" s="32" t="s">
        <v>2230</v>
      </c>
      <c r="E1056" s="5">
        <f>'ПДФО ГРОМАДИ'!M1056</f>
        <v>0</v>
      </c>
      <c r="F1056" s="5">
        <f>'ПДФО ГРОМАДИ'!N1056</f>
        <v>12080.5</v>
      </c>
    </row>
    <row r="1057" spans="1:6" ht="15.75" x14ac:dyDescent="0.25">
      <c r="A1057" s="38">
        <v>16</v>
      </c>
      <c r="B1057" s="34" t="s">
        <v>985</v>
      </c>
      <c r="C1057" s="18">
        <v>16557000000</v>
      </c>
      <c r="D1057" s="32" t="s">
        <v>2231</v>
      </c>
      <c r="E1057" s="5">
        <f>'ПДФО ГРОМАДИ'!M1057</f>
        <v>5602.5</v>
      </c>
      <c r="F1057" s="5">
        <f>'ПДФО ГРОМАДИ'!N1057</f>
        <v>0</v>
      </c>
    </row>
    <row r="1058" spans="1:6" ht="15.75" x14ac:dyDescent="0.25">
      <c r="A1058" s="38">
        <v>16</v>
      </c>
      <c r="B1058" s="34" t="s">
        <v>983</v>
      </c>
      <c r="C1058" s="18">
        <v>16558000000</v>
      </c>
      <c r="D1058" s="32" t="s">
        <v>2232</v>
      </c>
      <c r="E1058" s="5">
        <f>'ПДФО ГРОМАДИ'!M1058</f>
        <v>0</v>
      </c>
      <c r="F1058" s="5">
        <f>'ПДФО ГРОМАДИ'!N1058</f>
        <v>8635.1</v>
      </c>
    </row>
    <row r="1059" spans="1:6" ht="15.75" x14ac:dyDescent="0.25">
      <c r="A1059" s="38">
        <v>16</v>
      </c>
      <c r="B1059" s="34" t="s">
        <v>984</v>
      </c>
      <c r="C1059" s="18">
        <v>16559000000</v>
      </c>
      <c r="D1059" s="32" t="s">
        <v>2233</v>
      </c>
      <c r="E1059" s="5">
        <f>'ПДФО ГРОМАДИ'!M1059</f>
        <v>0</v>
      </c>
      <c r="F1059" s="5">
        <f>'ПДФО ГРОМАДИ'!N1059</f>
        <v>19726.7</v>
      </c>
    </row>
    <row r="1060" spans="1:6" ht="15.75" x14ac:dyDescent="0.25">
      <c r="A1060" s="38">
        <v>16</v>
      </c>
      <c r="B1060" s="34" t="s">
        <v>983</v>
      </c>
      <c r="C1060" s="18">
        <v>16560000000</v>
      </c>
      <c r="D1060" s="32" t="s">
        <v>2234</v>
      </c>
      <c r="E1060" s="5">
        <f>'ПДФО ГРОМАДИ'!M1060</f>
        <v>0</v>
      </c>
      <c r="F1060" s="5">
        <f>'ПДФО ГРОМАДИ'!N1060</f>
        <v>0</v>
      </c>
    </row>
    <row r="1061" spans="1:6" ht="15.75" x14ac:dyDescent="0.25">
      <c r="A1061" s="38">
        <v>16</v>
      </c>
      <c r="B1061" s="34" t="s">
        <v>983</v>
      </c>
      <c r="C1061" s="18">
        <v>16561000000</v>
      </c>
      <c r="D1061" s="32" t="s">
        <v>2235</v>
      </c>
      <c r="E1061" s="5">
        <f>'ПДФО ГРОМАДИ'!M1061</f>
        <v>0</v>
      </c>
      <c r="F1061" s="5">
        <f>'ПДФО ГРОМАДИ'!N1061</f>
        <v>9782.9</v>
      </c>
    </row>
    <row r="1062" spans="1:6" ht="15.75" x14ac:dyDescent="0.25">
      <c r="A1062" s="38">
        <v>16</v>
      </c>
      <c r="B1062" s="34" t="s">
        <v>985</v>
      </c>
      <c r="C1062" s="18">
        <v>16562000000</v>
      </c>
      <c r="D1062" s="32" t="s">
        <v>2236</v>
      </c>
      <c r="E1062" s="5">
        <f>'ПДФО ГРОМАДИ'!M1062</f>
        <v>1003.7</v>
      </c>
      <c r="F1062" s="5">
        <f>'ПДФО ГРОМАДИ'!N1062</f>
        <v>0</v>
      </c>
    </row>
    <row r="1063" spans="1:6" ht="15.75" x14ac:dyDescent="0.25">
      <c r="A1063" s="38">
        <v>16</v>
      </c>
      <c r="B1063" s="34" t="s">
        <v>985</v>
      </c>
      <c r="C1063" s="18">
        <v>16563000000</v>
      </c>
      <c r="D1063" s="32" t="s">
        <v>2237</v>
      </c>
      <c r="E1063" s="5">
        <f>'ПДФО ГРОМАДИ'!M1063</f>
        <v>1295.5999999999999</v>
      </c>
      <c r="F1063" s="5">
        <f>'ПДФО ГРОМАДИ'!N1063</f>
        <v>0</v>
      </c>
    </row>
    <row r="1064" spans="1:6" ht="15.75" x14ac:dyDescent="0.25">
      <c r="A1064" s="38">
        <v>16</v>
      </c>
      <c r="B1064" s="34" t="s">
        <v>986</v>
      </c>
      <c r="C1064" s="18">
        <v>16564000000</v>
      </c>
      <c r="D1064" s="32" t="s">
        <v>2238</v>
      </c>
      <c r="E1064" s="5">
        <f>'ПДФО ГРОМАДИ'!M1064</f>
        <v>97464.7</v>
      </c>
      <c r="F1064" s="5">
        <f>'ПДФО ГРОМАДИ'!N1064</f>
        <v>0</v>
      </c>
    </row>
    <row r="1065" spans="1:6" ht="15.75" x14ac:dyDescent="0.25">
      <c r="A1065" s="38">
        <v>16</v>
      </c>
      <c r="B1065" s="34" t="s">
        <v>986</v>
      </c>
      <c r="C1065" s="18">
        <v>16565000000</v>
      </c>
      <c r="D1065" s="32" t="s">
        <v>2239</v>
      </c>
      <c r="E1065" s="5">
        <f>'ПДФО ГРОМАДИ'!M1065</f>
        <v>0</v>
      </c>
      <c r="F1065" s="5">
        <f>'ПДФО ГРОМАДИ'!N1065</f>
        <v>9880.2999999999993</v>
      </c>
    </row>
    <row r="1066" spans="1:6" ht="15.75" x14ac:dyDescent="0.25">
      <c r="A1066" s="38">
        <v>16</v>
      </c>
      <c r="B1066" s="34" t="s">
        <v>984</v>
      </c>
      <c r="C1066" s="18">
        <v>16566000000</v>
      </c>
      <c r="D1066" s="32" t="s">
        <v>2240</v>
      </c>
      <c r="E1066" s="5">
        <f>'ПДФО ГРОМАДИ'!M1066</f>
        <v>0</v>
      </c>
      <c r="F1066" s="5">
        <f>'ПДФО ГРОМАДИ'!N1066</f>
        <v>1593.7</v>
      </c>
    </row>
    <row r="1067" spans="1:6" ht="15.75" x14ac:dyDescent="0.25">
      <c r="A1067" s="38">
        <v>16</v>
      </c>
      <c r="B1067" s="34" t="s">
        <v>984</v>
      </c>
      <c r="C1067" s="18">
        <v>16567000000</v>
      </c>
      <c r="D1067" s="32" t="s">
        <v>2823</v>
      </c>
      <c r="E1067" s="5">
        <f>'ПДФО ГРОМАДИ'!M1067</f>
        <v>0</v>
      </c>
      <c r="F1067" s="5">
        <f>'ПДФО ГРОМАДИ'!N1067</f>
        <v>1244.8</v>
      </c>
    </row>
    <row r="1068" spans="1:6" ht="15.75" x14ac:dyDescent="0.25">
      <c r="A1068" s="38">
        <v>16</v>
      </c>
      <c r="B1068" s="34" t="s">
        <v>986</v>
      </c>
      <c r="C1068" s="18">
        <v>16568000000</v>
      </c>
      <c r="D1068" s="32" t="s">
        <v>2241</v>
      </c>
      <c r="E1068" s="5">
        <f>'ПДФО ГРОМАДИ'!M1068</f>
        <v>0</v>
      </c>
      <c r="F1068" s="5">
        <f>'ПДФО ГРОМАДИ'!N1068</f>
        <v>0</v>
      </c>
    </row>
    <row r="1069" spans="1:6" ht="15.75" x14ac:dyDescent="0.25">
      <c r="A1069" s="38">
        <v>16</v>
      </c>
      <c r="B1069" s="34" t="s">
        <v>985</v>
      </c>
      <c r="C1069" s="18">
        <v>16569000000</v>
      </c>
      <c r="D1069" s="32" t="s">
        <v>2242</v>
      </c>
      <c r="E1069" s="5">
        <f>'ПДФО ГРОМАДИ'!M1069</f>
        <v>0</v>
      </c>
      <c r="F1069" s="5">
        <f>'ПДФО ГРОМАДИ'!N1069</f>
        <v>0</v>
      </c>
    </row>
    <row r="1070" spans="1:6" ht="15.75" x14ac:dyDescent="0.25">
      <c r="A1070" s="38">
        <v>16</v>
      </c>
      <c r="B1070" s="34" t="s">
        <v>986</v>
      </c>
      <c r="C1070" s="18">
        <v>16570000000</v>
      </c>
      <c r="D1070" s="32" t="s">
        <v>2243</v>
      </c>
      <c r="E1070" s="5">
        <f>'ПДФО ГРОМАДИ'!M1070</f>
        <v>288621.59999999998</v>
      </c>
      <c r="F1070" s="5">
        <f>'ПДФО ГРОМАДИ'!N1070</f>
        <v>0</v>
      </c>
    </row>
    <row r="1071" spans="1:6" ht="15.75" x14ac:dyDescent="0.25">
      <c r="A1071" s="38">
        <v>16</v>
      </c>
      <c r="B1071" s="34" t="s">
        <v>983</v>
      </c>
      <c r="C1071" s="18">
        <v>16571000000</v>
      </c>
      <c r="D1071" s="32" t="s">
        <v>2244</v>
      </c>
      <c r="E1071" s="5">
        <f>'ПДФО ГРОМАДИ'!M1071</f>
        <v>0</v>
      </c>
      <c r="F1071" s="5">
        <f>'ПДФО ГРОМАДИ'!N1071</f>
        <v>0</v>
      </c>
    </row>
    <row r="1072" spans="1:6" ht="15.75" x14ac:dyDescent="0.25">
      <c r="A1072" s="38">
        <v>16</v>
      </c>
      <c r="B1072" s="34" t="s">
        <v>985</v>
      </c>
      <c r="C1072" s="18">
        <v>16572000000</v>
      </c>
      <c r="D1072" s="32" t="s">
        <v>2245</v>
      </c>
      <c r="E1072" s="5">
        <f>'ПДФО ГРОМАДИ'!M1072</f>
        <v>0</v>
      </c>
      <c r="F1072" s="5">
        <f>'ПДФО ГРОМАДИ'!N1072</f>
        <v>0</v>
      </c>
    </row>
    <row r="1073" spans="1:6" ht="15.75" x14ac:dyDescent="0.25">
      <c r="A1073" s="36">
        <v>17</v>
      </c>
      <c r="B1073" s="17" t="s">
        <v>7</v>
      </c>
      <c r="C1073" s="17" t="s">
        <v>802</v>
      </c>
      <c r="D1073" s="11" t="s">
        <v>19</v>
      </c>
      <c r="E1073" s="11">
        <f>E1074+E1075+E1080</f>
        <v>196279.59999999998</v>
      </c>
      <c r="F1073" s="11">
        <f>F1074+F1075+F1080</f>
        <v>937142.89999999991</v>
      </c>
    </row>
    <row r="1074" spans="1:6" ht="15.75" x14ac:dyDescent="0.25">
      <c r="A1074" s="38">
        <v>17</v>
      </c>
      <c r="B1074" s="34" t="s">
        <v>6</v>
      </c>
      <c r="C1074" s="18" t="s">
        <v>157</v>
      </c>
      <c r="D1074" s="32" t="s">
        <v>855</v>
      </c>
      <c r="E1074" s="5">
        <f>'ПДФО ОБЛАСНІ'!K19+'ПОДАТОК НА ПРИБУТОК'!K19</f>
        <v>0</v>
      </c>
      <c r="F1074" s="5">
        <f>'ПДФО ОБЛАСНІ'!L19+'ПОДАТОК НА ПРИБУТОК'!L19</f>
        <v>125913.2</v>
      </c>
    </row>
    <row r="1075" spans="1:6" ht="15.75" x14ac:dyDescent="0.25">
      <c r="A1075" s="37">
        <v>17</v>
      </c>
      <c r="B1075" s="19" t="s">
        <v>5</v>
      </c>
      <c r="C1075" s="19" t="s">
        <v>803</v>
      </c>
      <c r="D1075" s="7" t="s">
        <v>2810</v>
      </c>
      <c r="E1075" s="7">
        <f>SUM(E1076:E1079)</f>
        <v>0</v>
      </c>
      <c r="F1075" s="7">
        <f>SUM(F1076:F1079)</f>
        <v>0</v>
      </c>
    </row>
    <row r="1076" spans="1:6" ht="15.75" x14ac:dyDescent="0.25">
      <c r="A1076" s="38">
        <v>17</v>
      </c>
      <c r="B1076" s="34" t="s">
        <v>4</v>
      </c>
      <c r="C1076" s="18" t="s">
        <v>158</v>
      </c>
      <c r="D1076" s="32" t="s">
        <v>941</v>
      </c>
      <c r="E1076" s="5">
        <f>'ПДФО ГРОМАДИ'!M1076</f>
        <v>0</v>
      </c>
      <c r="F1076" s="5">
        <f>'ПДФО ГРОМАДИ'!N1076</f>
        <v>0</v>
      </c>
    </row>
    <row r="1077" spans="1:6" ht="15.75" x14ac:dyDescent="0.25">
      <c r="A1077" s="38">
        <v>17</v>
      </c>
      <c r="B1077" s="34" t="s">
        <v>4</v>
      </c>
      <c r="C1077" s="18" t="s">
        <v>159</v>
      </c>
      <c r="D1077" s="32" t="s">
        <v>942</v>
      </c>
      <c r="E1077" s="5">
        <f>'ПДФО ГРОМАДИ'!M1077</f>
        <v>0</v>
      </c>
      <c r="F1077" s="5">
        <f>'ПДФО ГРОМАДИ'!N1077</f>
        <v>0</v>
      </c>
    </row>
    <row r="1078" spans="1:6" ht="15.75" x14ac:dyDescent="0.25">
      <c r="A1078" s="38">
        <v>17</v>
      </c>
      <c r="B1078" s="34" t="s">
        <v>4</v>
      </c>
      <c r="C1078" s="18" t="s">
        <v>160</v>
      </c>
      <c r="D1078" s="32" t="s">
        <v>943</v>
      </c>
      <c r="E1078" s="5">
        <f>'ПДФО ГРОМАДИ'!M1078</f>
        <v>0</v>
      </c>
      <c r="F1078" s="5">
        <f>'ПДФО ГРОМАДИ'!N1078</f>
        <v>0</v>
      </c>
    </row>
    <row r="1079" spans="1:6" ht="15.75" x14ac:dyDescent="0.25">
      <c r="A1079" s="38">
        <v>17</v>
      </c>
      <c r="B1079" s="34" t="s">
        <v>4</v>
      </c>
      <c r="C1079" s="18">
        <v>17317200000</v>
      </c>
      <c r="D1079" s="32" t="s">
        <v>2246</v>
      </c>
      <c r="E1079" s="5">
        <f>'ПДФО ГРОМАДИ'!M1079</f>
        <v>0</v>
      </c>
      <c r="F1079" s="5">
        <f>'ПДФО ГРОМАДИ'!N1079</f>
        <v>0</v>
      </c>
    </row>
    <row r="1080" spans="1:6" ht="15.75" x14ac:dyDescent="0.25">
      <c r="A1080" s="37">
        <v>17</v>
      </c>
      <c r="B1080" s="19" t="s">
        <v>28</v>
      </c>
      <c r="C1080" s="19" t="s">
        <v>804</v>
      </c>
      <c r="D1080" s="20" t="s">
        <v>2783</v>
      </c>
      <c r="E1080" s="7">
        <f>SUM(E1081:E1144)</f>
        <v>196279.59999999998</v>
      </c>
      <c r="F1080" s="7">
        <f>SUM(F1081:F1144)</f>
        <v>811229.7</v>
      </c>
    </row>
    <row r="1081" spans="1:6" ht="15.75" x14ac:dyDescent="0.25">
      <c r="A1081" s="38">
        <v>17</v>
      </c>
      <c r="B1081" s="34" t="s">
        <v>984</v>
      </c>
      <c r="C1081" s="18" t="s">
        <v>161</v>
      </c>
      <c r="D1081" s="32" t="s">
        <v>2247</v>
      </c>
      <c r="E1081" s="5">
        <f>'ПДФО ГРОМАДИ'!M1081</f>
        <v>0</v>
      </c>
      <c r="F1081" s="5">
        <f>'ПДФО ГРОМАДИ'!N1081</f>
        <v>7616.7</v>
      </c>
    </row>
    <row r="1082" spans="1:6" ht="15.75" x14ac:dyDescent="0.25">
      <c r="A1082" s="38">
        <v>17</v>
      </c>
      <c r="B1082" s="34" t="s">
        <v>984</v>
      </c>
      <c r="C1082" s="18" t="s">
        <v>162</v>
      </c>
      <c r="D1082" s="32" t="s">
        <v>2248</v>
      </c>
      <c r="E1082" s="5">
        <f>'ПДФО ГРОМАДИ'!M1082</f>
        <v>0</v>
      </c>
      <c r="F1082" s="5">
        <f>'ПДФО ГРОМАДИ'!N1082</f>
        <v>6127</v>
      </c>
    </row>
    <row r="1083" spans="1:6" ht="15.75" x14ac:dyDescent="0.25">
      <c r="A1083" s="38">
        <v>17</v>
      </c>
      <c r="B1083" s="34" t="s">
        <v>985</v>
      </c>
      <c r="C1083" s="18" t="s">
        <v>163</v>
      </c>
      <c r="D1083" s="32" t="s">
        <v>2249</v>
      </c>
      <c r="E1083" s="5">
        <f>'ПДФО ГРОМАДИ'!M1083</f>
        <v>0</v>
      </c>
      <c r="F1083" s="5">
        <f>'ПДФО ГРОМАДИ'!N1083</f>
        <v>0</v>
      </c>
    </row>
    <row r="1084" spans="1:6" ht="15.75" x14ac:dyDescent="0.25">
      <c r="A1084" s="38">
        <v>17</v>
      </c>
      <c r="B1084" s="34" t="s">
        <v>984</v>
      </c>
      <c r="C1084" s="18" t="s">
        <v>164</v>
      </c>
      <c r="D1084" s="32" t="s">
        <v>2250</v>
      </c>
      <c r="E1084" s="5">
        <f>'ПДФО ГРОМАДИ'!M1084</f>
        <v>0</v>
      </c>
      <c r="F1084" s="5">
        <f>'ПДФО ГРОМАДИ'!N1084</f>
        <v>8750.7999999999993</v>
      </c>
    </row>
    <row r="1085" spans="1:6" ht="15.75" x14ac:dyDescent="0.25">
      <c r="A1085" s="38">
        <v>17</v>
      </c>
      <c r="B1085" s="34" t="s">
        <v>984</v>
      </c>
      <c r="C1085" s="18" t="s">
        <v>165</v>
      </c>
      <c r="D1085" s="32" t="s">
        <v>2251</v>
      </c>
      <c r="E1085" s="5">
        <f>'ПДФО ГРОМАДИ'!M1085</f>
        <v>0</v>
      </c>
      <c r="F1085" s="5">
        <f>'ПДФО ГРОМАДИ'!N1085</f>
        <v>1067.3</v>
      </c>
    </row>
    <row r="1086" spans="1:6" ht="15.75" x14ac:dyDescent="0.25">
      <c r="A1086" s="38">
        <v>17</v>
      </c>
      <c r="B1086" s="34" t="s">
        <v>983</v>
      </c>
      <c r="C1086" s="18" t="s">
        <v>288</v>
      </c>
      <c r="D1086" s="32" t="s">
        <v>2252</v>
      </c>
      <c r="E1086" s="5">
        <f>'ПДФО ГРОМАДИ'!M1086</f>
        <v>0</v>
      </c>
      <c r="F1086" s="5">
        <f>'ПДФО ГРОМАДИ'!N1086</f>
        <v>7401.8</v>
      </c>
    </row>
    <row r="1087" spans="1:6" ht="15.75" x14ac:dyDescent="0.25">
      <c r="A1087" s="38">
        <v>17</v>
      </c>
      <c r="B1087" s="34" t="s">
        <v>984</v>
      </c>
      <c r="C1087" s="18" t="s">
        <v>289</v>
      </c>
      <c r="D1087" s="32" t="s">
        <v>2253</v>
      </c>
      <c r="E1087" s="5">
        <f>'ПДФО ГРОМАДИ'!M1087</f>
        <v>0</v>
      </c>
      <c r="F1087" s="5">
        <f>'ПДФО ГРОМАДИ'!N1087</f>
        <v>156.80000000000001</v>
      </c>
    </row>
    <row r="1088" spans="1:6" ht="15.75" x14ac:dyDescent="0.25">
      <c r="A1088" s="38">
        <v>17</v>
      </c>
      <c r="B1088" s="34" t="s">
        <v>984</v>
      </c>
      <c r="C1088" s="18" t="s">
        <v>290</v>
      </c>
      <c r="D1088" s="32" t="s">
        <v>2254</v>
      </c>
      <c r="E1088" s="5">
        <f>'ПДФО ГРОМАДИ'!M1088</f>
        <v>0</v>
      </c>
      <c r="F1088" s="5">
        <f>'ПДФО ГРОМАДИ'!N1088</f>
        <v>7431.3</v>
      </c>
    </row>
    <row r="1089" spans="1:6" ht="15.75" x14ac:dyDescent="0.25">
      <c r="A1089" s="38">
        <v>17</v>
      </c>
      <c r="B1089" s="34" t="s">
        <v>984</v>
      </c>
      <c r="C1089" s="18" t="s">
        <v>294</v>
      </c>
      <c r="D1089" s="32" t="s">
        <v>2255</v>
      </c>
      <c r="E1089" s="5">
        <f>'ПДФО ГРОМАДИ'!M1089</f>
        <v>0</v>
      </c>
      <c r="F1089" s="5">
        <f>'ПДФО ГРОМАДИ'!N1089</f>
        <v>9741</v>
      </c>
    </row>
    <row r="1090" spans="1:6" ht="15.75" x14ac:dyDescent="0.25">
      <c r="A1090" s="38">
        <v>17</v>
      </c>
      <c r="B1090" s="34" t="s">
        <v>984</v>
      </c>
      <c r="C1090" s="18" t="s">
        <v>295</v>
      </c>
      <c r="D1090" s="32" t="s">
        <v>2256</v>
      </c>
      <c r="E1090" s="5">
        <f>'ПДФО ГРОМАДИ'!M1090</f>
        <v>0</v>
      </c>
      <c r="F1090" s="5">
        <f>'ПДФО ГРОМАДИ'!N1090</f>
        <v>9595.6</v>
      </c>
    </row>
    <row r="1091" spans="1:6" ht="15.75" x14ac:dyDescent="0.25">
      <c r="A1091" s="38">
        <v>17</v>
      </c>
      <c r="B1091" s="34" t="s">
        <v>985</v>
      </c>
      <c r="C1091" s="18" t="s">
        <v>300</v>
      </c>
      <c r="D1091" s="32" t="s">
        <v>2257</v>
      </c>
      <c r="E1091" s="5">
        <f>'ПДФО ГРОМАДИ'!M1091</f>
        <v>0</v>
      </c>
      <c r="F1091" s="5">
        <f>'ПДФО ГРОМАДИ'!N1091</f>
        <v>935.5</v>
      </c>
    </row>
    <row r="1092" spans="1:6" ht="15.75" x14ac:dyDescent="0.25">
      <c r="A1092" s="38">
        <v>17</v>
      </c>
      <c r="B1092" s="34" t="s">
        <v>984</v>
      </c>
      <c r="C1092" s="18" t="s">
        <v>301</v>
      </c>
      <c r="D1092" s="32" t="s">
        <v>2258</v>
      </c>
      <c r="E1092" s="5">
        <f>'ПДФО ГРОМАДИ'!M1092</f>
        <v>0</v>
      </c>
      <c r="F1092" s="5">
        <f>'ПДФО ГРОМАДИ'!N1092</f>
        <v>7802.3</v>
      </c>
    </row>
    <row r="1093" spans="1:6" ht="15.75" x14ac:dyDescent="0.25">
      <c r="A1093" s="38">
        <v>17</v>
      </c>
      <c r="B1093" s="34" t="s">
        <v>984</v>
      </c>
      <c r="C1093" s="18" t="s">
        <v>302</v>
      </c>
      <c r="D1093" s="32" t="s">
        <v>2259</v>
      </c>
      <c r="E1093" s="5">
        <f>'ПДФО ГРОМАДИ'!M1093</f>
        <v>0</v>
      </c>
      <c r="F1093" s="5">
        <f>'ПДФО ГРОМАДИ'!N1093</f>
        <v>9042.7999999999993</v>
      </c>
    </row>
    <row r="1094" spans="1:6" ht="15.75" x14ac:dyDescent="0.25">
      <c r="A1094" s="38">
        <v>17</v>
      </c>
      <c r="B1094" s="34" t="s">
        <v>985</v>
      </c>
      <c r="C1094" s="18" t="s">
        <v>407</v>
      </c>
      <c r="D1094" s="32" t="s">
        <v>2260</v>
      </c>
      <c r="E1094" s="5">
        <f>'ПДФО ГРОМАДИ'!M1094</f>
        <v>0</v>
      </c>
      <c r="F1094" s="5">
        <f>'ПДФО ГРОМАДИ'!N1094</f>
        <v>15547.2</v>
      </c>
    </row>
    <row r="1095" spans="1:6" ht="15.75" x14ac:dyDescent="0.25">
      <c r="A1095" s="38">
        <v>17</v>
      </c>
      <c r="B1095" s="34" t="s">
        <v>984</v>
      </c>
      <c r="C1095" s="18" t="s">
        <v>408</v>
      </c>
      <c r="D1095" s="32" t="s">
        <v>2261</v>
      </c>
      <c r="E1095" s="5">
        <f>'ПДФО ГРОМАДИ'!M1095</f>
        <v>0</v>
      </c>
      <c r="F1095" s="5">
        <f>'ПДФО ГРОМАДИ'!N1095</f>
        <v>4625.1000000000004</v>
      </c>
    </row>
    <row r="1096" spans="1:6" ht="15.75" x14ac:dyDescent="0.25">
      <c r="A1096" s="38">
        <v>17</v>
      </c>
      <c r="B1096" s="34" t="s">
        <v>984</v>
      </c>
      <c r="C1096" s="18" t="s">
        <v>409</v>
      </c>
      <c r="D1096" s="32" t="s">
        <v>2262</v>
      </c>
      <c r="E1096" s="5">
        <f>'ПДФО ГРОМАДИ'!M1096</f>
        <v>0</v>
      </c>
      <c r="F1096" s="5">
        <f>'ПДФО ГРОМАДИ'!N1096</f>
        <v>10451.4</v>
      </c>
    </row>
    <row r="1097" spans="1:6" ht="15.75" x14ac:dyDescent="0.25">
      <c r="A1097" s="38">
        <v>17</v>
      </c>
      <c r="B1097" s="34" t="s">
        <v>984</v>
      </c>
      <c r="C1097" s="18" t="s">
        <v>410</v>
      </c>
      <c r="D1097" s="32" t="s">
        <v>2263</v>
      </c>
      <c r="E1097" s="5">
        <f>'ПДФО ГРОМАДИ'!M1097</f>
        <v>0</v>
      </c>
      <c r="F1097" s="5">
        <f>'ПДФО ГРОМАДИ'!N1097</f>
        <v>4783.2</v>
      </c>
    </row>
    <row r="1098" spans="1:6" ht="15.75" x14ac:dyDescent="0.25">
      <c r="A1098" s="38">
        <v>17</v>
      </c>
      <c r="B1098" s="34" t="s">
        <v>984</v>
      </c>
      <c r="C1098" s="18" t="s">
        <v>493</v>
      </c>
      <c r="D1098" s="32" t="s">
        <v>2264</v>
      </c>
      <c r="E1098" s="5">
        <f>'ПДФО ГРОМАДИ'!M1098</f>
        <v>0</v>
      </c>
      <c r="F1098" s="5">
        <f>'ПДФО ГРОМАДИ'!N1098</f>
        <v>7675.6</v>
      </c>
    </row>
    <row r="1099" spans="1:6" ht="15.75" x14ac:dyDescent="0.25">
      <c r="A1099" s="38">
        <v>17</v>
      </c>
      <c r="B1099" s="34" t="s">
        <v>984</v>
      </c>
      <c r="C1099" s="18" t="s">
        <v>607</v>
      </c>
      <c r="D1099" s="32" t="s">
        <v>2265</v>
      </c>
      <c r="E1099" s="5">
        <f>'ПДФО ГРОМАДИ'!M1099</f>
        <v>0</v>
      </c>
      <c r="F1099" s="5">
        <f>'ПДФО ГРОМАДИ'!N1099</f>
        <v>9476.7000000000007</v>
      </c>
    </row>
    <row r="1100" spans="1:6" ht="15.75" x14ac:dyDescent="0.25">
      <c r="A1100" s="38">
        <v>17</v>
      </c>
      <c r="B1100" s="34" t="s">
        <v>984</v>
      </c>
      <c r="C1100" s="18" t="s">
        <v>608</v>
      </c>
      <c r="D1100" s="32" t="s">
        <v>2266</v>
      </c>
      <c r="E1100" s="5">
        <f>'ПДФО ГРОМАДИ'!M1100</f>
        <v>0</v>
      </c>
      <c r="F1100" s="5">
        <f>'ПДФО ГРОМАДИ'!N1100</f>
        <v>116</v>
      </c>
    </row>
    <row r="1101" spans="1:6" ht="15.75" x14ac:dyDescent="0.25">
      <c r="A1101" s="38">
        <v>17</v>
      </c>
      <c r="B1101" s="34" t="s">
        <v>985</v>
      </c>
      <c r="C1101" s="18" t="s">
        <v>609</v>
      </c>
      <c r="D1101" s="32" t="s">
        <v>2267</v>
      </c>
      <c r="E1101" s="5">
        <f>'ПДФО ГРОМАДИ'!M1101</f>
        <v>11093.9</v>
      </c>
      <c r="F1101" s="5">
        <f>'ПДФО ГРОМАДИ'!N1101</f>
        <v>0</v>
      </c>
    </row>
    <row r="1102" spans="1:6" ht="15.75" x14ac:dyDescent="0.25">
      <c r="A1102" s="38">
        <v>17</v>
      </c>
      <c r="B1102" s="34" t="s">
        <v>984</v>
      </c>
      <c r="C1102" s="18" t="s">
        <v>610</v>
      </c>
      <c r="D1102" s="32" t="s">
        <v>2268</v>
      </c>
      <c r="E1102" s="5">
        <f>'ПДФО ГРОМАДИ'!M1102</f>
        <v>0</v>
      </c>
      <c r="F1102" s="5">
        <f>'ПДФО ГРОМАДИ'!N1102</f>
        <v>16274.6</v>
      </c>
    </row>
    <row r="1103" spans="1:6" ht="15.75" x14ac:dyDescent="0.25">
      <c r="A1103" s="38">
        <v>17</v>
      </c>
      <c r="B1103" s="34" t="s">
        <v>985</v>
      </c>
      <c r="C1103" s="18" t="s">
        <v>611</v>
      </c>
      <c r="D1103" s="67" t="s">
        <v>2269</v>
      </c>
      <c r="E1103" s="5">
        <f>'ПДФО ГРОМАДИ'!M1103</f>
        <v>0</v>
      </c>
      <c r="F1103" s="5">
        <f>'ПДФО ГРОМАДИ'!N1103</f>
        <v>10645.1</v>
      </c>
    </row>
    <row r="1104" spans="1:6" ht="15.75" x14ac:dyDescent="0.25">
      <c r="A1104" s="38">
        <v>17</v>
      </c>
      <c r="B1104" s="34" t="s">
        <v>984</v>
      </c>
      <c r="C1104" s="18" t="s">
        <v>714</v>
      </c>
      <c r="D1104" s="67" t="s">
        <v>2270</v>
      </c>
      <c r="E1104" s="5">
        <f>'ПДФО ГРОМАДИ'!M1104</f>
        <v>0</v>
      </c>
      <c r="F1104" s="5">
        <f>'ПДФО ГРОМАДИ'!N1104</f>
        <v>3672.1</v>
      </c>
    </row>
    <row r="1105" spans="1:6" ht="15.75" x14ac:dyDescent="0.25">
      <c r="A1105" s="38">
        <v>17</v>
      </c>
      <c r="B1105" s="34" t="s">
        <v>984</v>
      </c>
      <c r="C1105" s="18">
        <v>17526000000</v>
      </c>
      <c r="D1105" s="67" t="s">
        <v>2271</v>
      </c>
      <c r="E1105" s="5">
        <f>'ПДФО ГРОМАДИ'!M1105</f>
        <v>0</v>
      </c>
      <c r="F1105" s="5">
        <f>'ПДФО ГРОМАДИ'!N1105</f>
        <v>9300.7999999999993</v>
      </c>
    </row>
    <row r="1106" spans="1:6" ht="15.75" x14ac:dyDescent="0.25">
      <c r="A1106" s="38">
        <v>17</v>
      </c>
      <c r="B1106" s="34" t="s">
        <v>984</v>
      </c>
      <c r="C1106" s="18">
        <v>17527000000</v>
      </c>
      <c r="D1106" s="67" t="s">
        <v>2272</v>
      </c>
      <c r="E1106" s="5">
        <f>'ПДФО ГРОМАДИ'!M1106</f>
        <v>0</v>
      </c>
      <c r="F1106" s="5">
        <f>'ПДФО ГРОМАДИ'!N1106</f>
        <v>13580.6</v>
      </c>
    </row>
    <row r="1107" spans="1:6" ht="15.75" x14ac:dyDescent="0.25">
      <c r="A1107" s="38">
        <v>17</v>
      </c>
      <c r="B1107" s="34" t="s">
        <v>984</v>
      </c>
      <c r="C1107" s="18">
        <v>17528000000</v>
      </c>
      <c r="D1107" s="67" t="s">
        <v>2273</v>
      </c>
      <c r="E1107" s="5">
        <f>'ПДФО ГРОМАДИ'!M1107</f>
        <v>0</v>
      </c>
      <c r="F1107" s="5">
        <f>'ПДФО ГРОМАДИ'!N1107</f>
        <v>4435.8</v>
      </c>
    </row>
    <row r="1108" spans="1:6" ht="15.75" x14ac:dyDescent="0.25">
      <c r="A1108" s="38">
        <v>17</v>
      </c>
      <c r="B1108" s="34" t="s">
        <v>984</v>
      </c>
      <c r="C1108" s="18">
        <v>17529000000</v>
      </c>
      <c r="D1108" s="67" t="s">
        <v>2274</v>
      </c>
      <c r="E1108" s="5">
        <f>'ПДФО ГРОМАДИ'!M1108</f>
        <v>0</v>
      </c>
      <c r="F1108" s="5">
        <f>'ПДФО ГРОМАДИ'!N1108</f>
        <v>4801.8</v>
      </c>
    </row>
    <row r="1109" spans="1:6" ht="15.75" x14ac:dyDescent="0.25">
      <c r="A1109" s="38">
        <v>17</v>
      </c>
      <c r="B1109" s="34" t="s">
        <v>984</v>
      </c>
      <c r="C1109" s="18">
        <v>17530000000</v>
      </c>
      <c r="D1109" s="67" t="s">
        <v>2275</v>
      </c>
      <c r="E1109" s="5">
        <f>'ПДФО ГРОМАДИ'!M1109</f>
        <v>0</v>
      </c>
      <c r="F1109" s="5">
        <f>'ПДФО ГРОМАДИ'!N1109</f>
        <v>10339</v>
      </c>
    </row>
    <row r="1110" spans="1:6" ht="15.75" x14ac:dyDescent="0.25">
      <c r="A1110" s="38">
        <v>17</v>
      </c>
      <c r="B1110" s="34" t="s">
        <v>984</v>
      </c>
      <c r="C1110" s="18">
        <v>17531000000</v>
      </c>
      <c r="D1110" s="67" t="s">
        <v>2276</v>
      </c>
      <c r="E1110" s="5">
        <f>'ПДФО ГРОМАДИ'!M1110</f>
        <v>0</v>
      </c>
      <c r="F1110" s="5">
        <f>'ПДФО ГРОМАДИ'!N1110</f>
        <v>11957.9</v>
      </c>
    </row>
    <row r="1111" spans="1:6" ht="15.75" x14ac:dyDescent="0.25">
      <c r="A1111" s="38">
        <v>17</v>
      </c>
      <c r="B1111" s="34" t="s">
        <v>986</v>
      </c>
      <c r="C1111" s="18">
        <v>17532000000</v>
      </c>
      <c r="D1111" s="32" t="s">
        <v>2277</v>
      </c>
      <c r="E1111" s="5">
        <f>'ПДФО ГРОМАДИ'!M1111</f>
        <v>119950.5</v>
      </c>
      <c r="F1111" s="5">
        <f>'ПДФО ГРОМАДИ'!N1111</f>
        <v>0</v>
      </c>
    </row>
    <row r="1112" spans="1:6" ht="15.75" x14ac:dyDescent="0.25">
      <c r="A1112" s="38">
        <v>17</v>
      </c>
      <c r="B1112" s="34" t="s">
        <v>986</v>
      </c>
      <c r="C1112" s="18">
        <v>17534000000</v>
      </c>
      <c r="D1112" s="32" t="s">
        <v>2278</v>
      </c>
      <c r="E1112" s="5">
        <f>'ПДФО ГРОМАДИ'!M1112</f>
        <v>0</v>
      </c>
      <c r="F1112" s="5">
        <f>'ПДФО ГРОМАДИ'!N1112</f>
        <v>50371.3</v>
      </c>
    </row>
    <row r="1113" spans="1:6" ht="15.75" x14ac:dyDescent="0.25">
      <c r="A1113" s="38">
        <v>17</v>
      </c>
      <c r="B1113" s="34" t="s">
        <v>985</v>
      </c>
      <c r="C1113" s="18">
        <v>17535000000</v>
      </c>
      <c r="D1113" s="32" t="s">
        <v>2279</v>
      </c>
      <c r="E1113" s="5">
        <f>'ПДФО ГРОМАДИ'!M1113</f>
        <v>0</v>
      </c>
      <c r="F1113" s="5">
        <f>'ПДФО ГРОМАДИ'!N1113</f>
        <v>12281.6</v>
      </c>
    </row>
    <row r="1114" spans="1:6" ht="15.75" x14ac:dyDescent="0.25">
      <c r="A1114" s="38">
        <v>17</v>
      </c>
      <c r="B1114" s="34" t="s">
        <v>984</v>
      </c>
      <c r="C1114" s="18">
        <v>17536000000</v>
      </c>
      <c r="D1114" s="32" t="s">
        <v>2280</v>
      </c>
      <c r="E1114" s="5">
        <f>'ПДФО ГРОМАДИ'!M1114</f>
        <v>0</v>
      </c>
      <c r="F1114" s="5">
        <f>'ПДФО ГРОМАДИ'!N1114</f>
        <v>8612.7999999999993</v>
      </c>
    </row>
    <row r="1115" spans="1:6" ht="15.75" x14ac:dyDescent="0.25">
      <c r="A1115" s="38">
        <v>17</v>
      </c>
      <c r="B1115" s="34" t="s">
        <v>984</v>
      </c>
      <c r="C1115" s="18">
        <v>17537000000</v>
      </c>
      <c r="D1115" s="32" t="s">
        <v>2281</v>
      </c>
      <c r="E1115" s="5">
        <f>'ПДФО ГРОМАДИ'!M1115</f>
        <v>0</v>
      </c>
      <c r="F1115" s="5">
        <f>'ПДФО ГРОМАДИ'!N1115</f>
        <v>10431.9</v>
      </c>
    </row>
    <row r="1116" spans="1:6" ht="15.75" x14ac:dyDescent="0.25">
      <c r="A1116" s="38">
        <v>17</v>
      </c>
      <c r="B1116" s="34" t="s">
        <v>984</v>
      </c>
      <c r="C1116" s="18">
        <v>17538000000</v>
      </c>
      <c r="D1116" s="32" t="s">
        <v>2282</v>
      </c>
      <c r="E1116" s="5">
        <f>'ПДФО ГРОМАДИ'!M1116</f>
        <v>0</v>
      </c>
      <c r="F1116" s="5">
        <f>'ПДФО ГРОМАДИ'!N1116</f>
        <v>1106.5</v>
      </c>
    </row>
    <row r="1117" spans="1:6" ht="15.75" x14ac:dyDescent="0.25">
      <c r="A1117" s="38">
        <v>17</v>
      </c>
      <c r="B1117" s="34" t="s">
        <v>984</v>
      </c>
      <c r="C1117" s="18">
        <v>17539000000</v>
      </c>
      <c r="D1117" s="32" t="s">
        <v>2283</v>
      </c>
      <c r="E1117" s="5">
        <f>'ПДФО ГРОМАДИ'!M1117</f>
        <v>0</v>
      </c>
      <c r="F1117" s="5">
        <f>'ПДФО ГРОМАДИ'!N1117</f>
        <v>15877.7</v>
      </c>
    </row>
    <row r="1118" spans="1:6" ht="15.75" x14ac:dyDescent="0.25">
      <c r="A1118" s="38">
        <v>17</v>
      </c>
      <c r="B1118" s="34" t="s">
        <v>984</v>
      </c>
      <c r="C1118" s="18">
        <v>17540000000</v>
      </c>
      <c r="D1118" s="32" t="s">
        <v>2284</v>
      </c>
      <c r="E1118" s="5">
        <f>'ПДФО ГРОМАДИ'!M1118</f>
        <v>0</v>
      </c>
      <c r="F1118" s="5">
        <f>'ПДФО ГРОМАДИ'!N1118</f>
        <v>10427.1</v>
      </c>
    </row>
    <row r="1119" spans="1:6" ht="15.75" x14ac:dyDescent="0.25">
      <c r="A1119" s="38">
        <v>17</v>
      </c>
      <c r="B1119" s="34" t="s">
        <v>984</v>
      </c>
      <c r="C1119" s="18">
        <v>17541000000</v>
      </c>
      <c r="D1119" s="32" t="s">
        <v>2285</v>
      </c>
      <c r="E1119" s="5">
        <f>'ПДФО ГРОМАДИ'!M1119</f>
        <v>0</v>
      </c>
      <c r="F1119" s="5">
        <f>'ПДФО ГРОМАДИ'!N1119</f>
        <v>11697.5</v>
      </c>
    </row>
    <row r="1120" spans="1:6" ht="15.75" x14ac:dyDescent="0.25">
      <c r="A1120" s="38">
        <v>17</v>
      </c>
      <c r="B1120" s="34" t="s">
        <v>984</v>
      </c>
      <c r="C1120" s="18">
        <v>17543000000</v>
      </c>
      <c r="D1120" s="32" t="s">
        <v>2286</v>
      </c>
      <c r="E1120" s="5">
        <f>'ПДФО ГРОМАДИ'!M1120</f>
        <v>0</v>
      </c>
      <c r="F1120" s="5">
        <f>'ПДФО ГРОМАДИ'!N1120</f>
        <v>6566.6</v>
      </c>
    </row>
    <row r="1121" spans="1:6" ht="15.75" x14ac:dyDescent="0.25">
      <c r="A1121" s="38">
        <v>17</v>
      </c>
      <c r="B1121" s="34" t="s">
        <v>985</v>
      </c>
      <c r="C1121" s="18">
        <v>17544000000</v>
      </c>
      <c r="D1121" s="67" t="s">
        <v>2287</v>
      </c>
      <c r="E1121" s="5">
        <f>'ПДФО ГРОМАДИ'!M1121</f>
        <v>0</v>
      </c>
      <c r="F1121" s="5">
        <f>'ПДФО ГРОМАДИ'!N1121</f>
        <v>11839.3</v>
      </c>
    </row>
    <row r="1122" spans="1:6" ht="15.75" x14ac:dyDescent="0.25">
      <c r="A1122" s="38">
        <v>17</v>
      </c>
      <c r="B1122" s="34" t="s">
        <v>984</v>
      </c>
      <c r="C1122" s="18">
        <v>17545000000</v>
      </c>
      <c r="D1122" s="32" t="s">
        <v>2288</v>
      </c>
      <c r="E1122" s="5">
        <f>'ПДФО ГРОМАДИ'!M1122</f>
        <v>0</v>
      </c>
      <c r="F1122" s="5">
        <f>'ПДФО ГРОМАДИ'!N1122</f>
        <v>4058</v>
      </c>
    </row>
    <row r="1123" spans="1:6" ht="15.75" x14ac:dyDescent="0.25">
      <c r="A1123" s="38">
        <v>17</v>
      </c>
      <c r="B1123" s="34" t="s">
        <v>984</v>
      </c>
      <c r="C1123" s="18">
        <v>17546000000</v>
      </c>
      <c r="D1123" s="67" t="s">
        <v>1461</v>
      </c>
      <c r="E1123" s="5">
        <f>'ПДФО ГРОМАДИ'!M1123</f>
        <v>0</v>
      </c>
      <c r="F1123" s="5">
        <f>'ПДФО ГРОМАДИ'!N1123</f>
        <v>22242.2</v>
      </c>
    </row>
    <row r="1124" spans="1:6" ht="15.75" x14ac:dyDescent="0.25">
      <c r="A1124" s="38">
        <v>17</v>
      </c>
      <c r="B1124" s="34" t="s">
        <v>983</v>
      </c>
      <c r="C1124" s="18">
        <v>17547000000</v>
      </c>
      <c r="D1124" s="67" t="s">
        <v>2289</v>
      </c>
      <c r="E1124" s="5">
        <f>'ПДФО ГРОМАДИ'!M1124</f>
        <v>0</v>
      </c>
      <c r="F1124" s="5">
        <f>'ПДФО ГРОМАДИ'!N1124</f>
        <v>64223.1</v>
      </c>
    </row>
    <row r="1125" spans="1:6" ht="15.75" x14ac:dyDescent="0.25">
      <c r="A1125" s="38">
        <v>17</v>
      </c>
      <c r="B1125" s="34" t="s">
        <v>984</v>
      </c>
      <c r="C1125" s="18">
        <v>17548000000</v>
      </c>
      <c r="D1125" s="67" t="s">
        <v>2290</v>
      </c>
      <c r="E1125" s="5">
        <f>'ПДФО ГРОМАДИ'!M1125</f>
        <v>0</v>
      </c>
      <c r="F1125" s="5">
        <f>'ПДФО ГРОМАДИ'!N1125</f>
        <v>12123</v>
      </c>
    </row>
    <row r="1126" spans="1:6" ht="15.75" x14ac:dyDescent="0.25">
      <c r="A1126" s="38">
        <v>17</v>
      </c>
      <c r="B1126" s="34" t="s">
        <v>984</v>
      </c>
      <c r="C1126" s="18">
        <v>17549000000</v>
      </c>
      <c r="D1126" s="67" t="s">
        <v>2291</v>
      </c>
      <c r="E1126" s="5">
        <f>'ПДФО ГРОМАДИ'!M1126</f>
        <v>0</v>
      </c>
      <c r="F1126" s="5">
        <f>'ПДФО ГРОМАДИ'!N1126</f>
        <v>7801.8</v>
      </c>
    </row>
    <row r="1127" spans="1:6" ht="15.75" x14ac:dyDescent="0.25">
      <c r="A1127" s="38">
        <v>17</v>
      </c>
      <c r="B1127" s="34" t="s">
        <v>984</v>
      </c>
      <c r="C1127" s="18">
        <v>17550000000</v>
      </c>
      <c r="D1127" s="67" t="s">
        <v>2292</v>
      </c>
      <c r="E1127" s="5">
        <f>'ПДФО ГРОМАДИ'!M1127</f>
        <v>0</v>
      </c>
      <c r="F1127" s="5">
        <f>'ПДФО ГРОМАДИ'!N1127</f>
        <v>13011.9</v>
      </c>
    </row>
    <row r="1128" spans="1:6" ht="15.75" x14ac:dyDescent="0.25">
      <c r="A1128" s="38">
        <v>17</v>
      </c>
      <c r="B1128" s="34" t="s">
        <v>984</v>
      </c>
      <c r="C1128" s="18">
        <v>17551000000</v>
      </c>
      <c r="D1128" s="67" t="s">
        <v>2293</v>
      </c>
      <c r="E1128" s="5">
        <f>'ПДФО ГРОМАДИ'!M1128</f>
        <v>0</v>
      </c>
      <c r="F1128" s="5">
        <f>'ПДФО ГРОМАДИ'!N1128</f>
        <v>5414</v>
      </c>
    </row>
    <row r="1129" spans="1:6" ht="15.75" x14ac:dyDescent="0.25">
      <c r="A1129" s="38">
        <v>17</v>
      </c>
      <c r="B1129" s="34" t="s">
        <v>985</v>
      </c>
      <c r="C1129" s="18">
        <v>17552000000</v>
      </c>
      <c r="D1129" s="67" t="s">
        <v>2294</v>
      </c>
      <c r="E1129" s="5">
        <f>'ПДФО ГРОМАДИ'!M1129</f>
        <v>0</v>
      </c>
      <c r="F1129" s="5">
        <f>'ПДФО ГРОМАДИ'!N1129</f>
        <v>34344.800000000003</v>
      </c>
    </row>
    <row r="1130" spans="1:6" ht="15.75" x14ac:dyDescent="0.25">
      <c r="A1130" s="38">
        <v>17</v>
      </c>
      <c r="B1130" s="34" t="s">
        <v>984</v>
      </c>
      <c r="C1130" s="18">
        <v>17553000000</v>
      </c>
      <c r="D1130" s="67" t="s">
        <v>2295</v>
      </c>
      <c r="E1130" s="5">
        <f>'ПДФО ГРОМАДИ'!M1130</f>
        <v>11974.3</v>
      </c>
      <c r="F1130" s="5">
        <f>'ПДФО ГРОМАДИ'!N1130</f>
        <v>0</v>
      </c>
    </row>
    <row r="1131" spans="1:6" ht="15.75" x14ac:dyDescent="0.25">
      <c r="A1131" s="38">
        <v>17</v>
      </c>
      <c r="B1131" s="34" t="s">
        <v>985</v>
      </c>
      <c r="C1131" s="18">
        <v>17554000000</v>
      </c>
      <c r="D1131" s="67" t="s">
        <v>2296</v>
      </c>
      <c r="E1131" s="5">
        <f>'ПДФО ГРОМАДИ'!M1131</f>
        <v>0</v>
      </c>
      <c r="F1131" s="5">
        <f>'ПДФО ГРОМАДИ'!N1131</f>
        <v>12027.5</v>
      </c>
    </row>
    <row r="1132" spans="1:6" ht="15.75" x14ac:dyDescent="0.25">
      <c r="A1132" s="38">
        <v>17</v>
      </c>
      <c r="B1132" s="34" t="s">
        <v>986</v>
      </c>
      <c r="C1132" s="18">
        <v>17555000000</v>
      </c>
      <c r="D1132" s="67" t="s">
        <v>1064</v>
      </c>
      <c r="E1132" s="5">
        <f>'ПДФО ГРОМАДИ'!M1132</f>
        <v>0</v>
      </c>
      <c r="F1132" s="5">
        <f>'ПДФО ГРОМАДИ'!N1132</f>
        <v>0</v>
      </c>
    </row>
    <row r="1133" spans="1:6" ht="15.75" x14ac:dyDescent="0.25">
      <c r="A1133" s="38">
        <v>17</v>
      </c>
      <c r="B1133" s="34" t="s">
        <v>983</v>
      </c>
      <c r="C1133" s="18">
        <v>17556000000</v>
      </c>
      <c r="D1133" s="67" t="s">
        <v>2297</v>
      </c>
      <c r="E1133" s="5">
        <f>'ПДФО ГРОМАДИ'!M1133</f>
        <v>0</v>
      </c>
      <c r="F1133" s="5">
        <f>'ПДФО ГРОМАДИ'!N1133</f>
        <v>49282.5</v>
      </c>
    </row>
    <row r="1134" spans="1:6" ht="15.75" x14ac:dyDescent="0.25">
      <c r="A1134" s="38">
        <v>17</v>
      </c>
      <c r="B1134" s="34" t="s">
        <v>985</v>
      </c>
      <c r="C1134" s="18">
        <v>17557000000</v>
      </c>
      <c r="D1134" s="67" t="s">
        <v>2298</v>
      </c>
      <c r="E1134" s="5">
        <f>'ПДФО ГРОМАДИ'!M1134</f>
        <v>0</v>
      </c>
      <c r="F1134" s="5">
        <f>'ПДФО ГРОМАДИ'!N1134</f>
        <v>42597.3</v>
      </c>
    </row>
    <row r="1135" spans="1:6" ht="15.75" x14ac:dyDescent="0.25">
      <c r="A1135" s="38">
        <v>17</v>
      </c>
      <c r="B1135" s="34" t="s">
        <v>984</v>
      </c>
      <c r="C1135" s="18">
        <v>17558000000</v>
      </c>
      <c r="D1135" s="67" t="s">
        <v>2299</v>
      </c>
      <c r="E1135" s="5">
        <f>'ПДФО ГРОМАДИ'!M1135</f>
        <v>0</v>
      </c>
      <c r="F1135" s="5">
        <f>'ПДФО ГРОМАДИ'!N1135</f>
        <v>16311.9</v>
      </c>
    </row>
    <row r="1136" spans="1:6" ht="15.75" x14ac:dyDescent="0.25">
      <c r="A1136" s="38">
        <v>17</v>
      </c>
      <c r="B1136" s="34" t="s">
        <v>983</v>
      </c>
      <c r="C1136" s="18">
        <v>17559000000</v>
      </c>
      <c r="D1136" s="67" t="s">
        <v>2300</v>
      </c>
      <c r="E1136" s="5">
        <f>'ПДФО ГРОМАДИ'!M1136</f>
        <v>0</v>
      </c>
      <c r="F1136" s="5">
        <f>'ПДФО ГРОМАДИ'!N1136</f>
        <v>0</v>
      </c>
    </row>
    <row r="1137" spans="1:6" ht="15.75" x14ac:dyDescent="0.25">
      <c r="A1137" s="38">
        <v>17</v>
      </c>
      <c r="B1137" s="34" t="s">
        <v>984</v>
      </c>
      <c r="C1137" s="18">
        <v>17560000000</v>
      </c>
      <c r="D1137" s="67" t="s">
        <v>2301</v>
      </c>
      <c r="E1137" s="5">
        <f>'ПДФО ГРОМАДИ'!M1137</f>
        <v>0</v>
      </c>
      <c r="F1137" s="5">
        <f>'ПДФО ГРОМАДИ'!N1137</f>
        <v>276.60000000000002</v>
      </c>
    </row>
    <row r="1138" spans="1:6" ht="15.75" x14ac:dyDescent="0.25">
      <c r="A1138" s="38">
        <v>17</v>
      </c>
      <c r="B1138" s="34" t="s">
        <v>983</v>
      </c>
      <c r="C1138" s="18">
        <v>17561000000</v>
      </c>
      <c r="D1138" s="67" t="s">
        <v>2302</v>
      </c>
      <c r="E1138" s="5">
        <f>'ПДФО ГРОМАДИ'!M1138</f>
        <v>0</v>
      </c>
      <c r="F1138" s="5">
        <f>'ПДФО ГРОМАДИ'!N1138</f>
        <v>28064.7</v>
      </c>
    </row>
    <row r="1139" spans="1:6" ht="15.75" x14ac:dyDescent="0.25">
      <c r="A1139" s="38">
        <v>17</v>
      </c>
      <c r="B1139" s="34" t="s">
        <v>983</v>
      </c>
      <c r="C1139" s="18">
        <v>17562000000</v>
      </c>
      <c r="D1139" s="67" t="s">
        <v>2303</v>
      </c>
      <c r="E1139" s="5">
        <f>'ПДФО ГРОМАДИ'!M1139</f>
        <v>0</v>
      </c>
      <c r="F1139" s="5">
        <f>'ПДФО ГРОМАДИ'!N1139</f>
        <v>18184.8</v>
      </c>
    </row>
    <row r="1140" spans="1:6" ht="15.75" x14ac:dyDescent="0.25">
      <c r="A1140" s="38">
        <v>17</v>
      </c>
      <c r="B1140" s="34" t="s">
        <v>985</v>
      </c>
      <c r="C1140" s="18">
        <v>17563000000</v>
      </c>
      <c r="D1140" s="67" t="s">
        <v>2304</v>
      </c>
      <c r="E1140" s="5">
        <f>'ПДФО ГРОМАДИ'!M1140</f>
        <v>0</v>
      </c>
      <c r="F1140" s="5">
        <f>'ПДФО ГРОМАДИ'!N1140</f>
        <v>22154</v>
      </c>
    </row>
    <row r="1141" spans="1:6" ht="15.75" x14ac:dyDescent="0.25">
      <c r="A1141" s="38">
        <v>17</v>
      </c>
      <c r="B1141" s="34" t="s">
        <v>986</v>
      </c>
      <c r="C1141" s="18">
        <v>17564000000</v>
      </c>
      <c r="D1141" s="67" t="s">
        <v>2305</v>
      </c>
      <c r="E1141" s="5">
        <f>'ПДФО ГРОМАДИ'!M1141</f>
        <v>53260.9</v>
      </c>
      <c r="F1141" s="5">
        <f>'ПДФО ГРОМАДИ'!N1141</f>
        <v>0</v>
      </c>
    </row>
    <row r="1142" spans="1:6" ht="15.75" x14ac:dyDescent="0.25">
      <c r="A1142" s="38">
        <v>17</v>
      </c>
      <c r="B1142" s="34" t="s">
        <v>985</v>
      </c>
      <c r="C1142" s="18">
        <v>17565000000</v>
      </c>
      <c r="D1142" s="67" t="s">
        <v>2306</v>
      </c>
      <c r="E1142" s="5">
        <f>'ПДФО ГРОМАДИ'!M1142</f>
        <v>0</v>
      </c>
      <c r="F1142" s="5">
        <f>'ПДФО ГРОМАДИ'!N1142</f>
        <v>44122.5</v>
      </c>
    </row>
    <row r="1143" spans="1:6" ht="15.75" x14ac:dyDescent="0.25">
      <c r="A1143" s="38">
        <v>17</v>
      </c>
      <c r="B1143" s="34" t="s">
        <v>983</v>
      </c>
      <c r="C1143" s="18">
        <v>17566000000</v>
      </c>
      <c r="D1143" s="67" t="s">
        <v>2307</v>
      </c>
      <c r="E1143" s="5">
        <f>'ПДФО ГРОМАДИ'!M1143</f>
        <v>0</v>
      </c>
      <c r="F1143" s="5">
        <f>'ПДФО ГРОМАДИ'!N1143</f>
        <v>55360.800000000003</v>
      </c>
    </row>
    <row r="1144" spans="1:6" ht="15.75" x14ac:dyDescent="0.25">
      <c r="A1144" s="38">
        <v>17</v>
      </c>
      <c r="B1144" s="34" t="s">
        <v>985</v>
      </c>
      <c r="C1144" s="18">
        <v>17567000000</v>
      </c>
      <c r="D1144" s="67" t="s">
        <v>2308</v>
      </c>
      <c r="E1144" s="5">
        <f>'ПДФО ГРОМАДИ'!M1144</f>
        <v>0</v>
      </c>
      <c r="F1144" s="5">
        <f>'ПДФО ГРОМАДИ'!N1144</f>
        <v>7064.2</v>
      </c>
    </row>
    <row r="1145" spans="1:6" ht="15.75" x14ac:dyDescent="0.25">
      <c r="A1145" s="36">
        <v>18</v>
      </c>
      <c r="B1145" s="17" t="s">
        <v>7</v>
      </c>
      <c r="C1145" s="17" t="s">
        <v>805</v>
      </c>
      <c r="D1145" s="11" t="s">
        <v>20</v>
      </c>
      <c r="E1145" s="11">
        <f>E1146+E1147+E1153</f>
        <v>194594.59999999998</v>
      </c>
      <c r="F1145" s="11">
        <f>F1146+F1147+F1153</f>
        <v>278523.70000000007</v>
      </c>
    </row>
    <row r="1146" spans="1:6" ht="15.75" x14ac:dyDescent="0.25">
      <c r="A1146" s="38">
        <v>18</v>
      </c>
      <c r="B1146" s="34" t="s">
        <v>6</v>
      </c>
      <c r="C1146" s="18" t="s">
        <v>166</v>
      </c>
      <c r="D1146" s="32" t="s">
        <v>856</v>
      </c>
      <c r="E1146" s="5">
        <f>'ПДФО ОБЛАСНІ'!K20+'ПОДАТОК НА ПРИБУТОК'!K20</f>
        <v>0</v>
      </c>
      <c r="F1146" s="5">
        <f>'ПДФО ОБЛАСНІ'!L20+'ПОДАТОК НА ПРИБУТОК'!L20</f>
        <v>23864.2</v>
      </c>
    </row>
    <row r="1147" spans="1:6" ht="15.75" x14ac:dyDescent="0.25">
      <c r="A1147" s="37">
        <v>18</v>
      </c>
      <c r="B1147" s="19" t="s">
        <v>5</v>
      </c>
      <c r="C1147" s="19" t="s">
        <v>806</v>
      </c>
      <c r="D1147" s="7" t="s">
        <v>2811</v>
      </c>
      <c r="E1147" s="7">
        <f>SUM(E1148:E1152)</f>
        <v>0</v>
      </c>
      <c r="F1147" s="7">
        <f>SUM(F1148:F1152)</f>
        <v>0</v>
      </c>
    </row>
    <row r="1148" spans="1:6" ht="15.75" x14ac:dyDescent="0.25">
      <c r="A1148" s="38">
        <v>18</v>
      </c>
      <c r="B1148" s="34" t="s">
        <v>4</v>
      </c>
      <c r="C1148" s="82" t="s">
        <v>167</v>
      </c>
      <c r="D1148" s="68" t="s">
        <v>944</v>
      </c>
      <c r="E1148" s="5">
        <f>'ПДФО ГРОМАДИ'!M1148</f>
        <v>0</v>
      </c>
      <c r="F1148" s="5">
        <f>'ПДФО ГРОМАДИ'!N1148</f>
        <v>0</v>
      </c>
    </row>
    <row r="1149" spans="1:6" ht="15.75" x14ac:dyDescent="0.25">
      <c r="A1149" s="38">
        <v>18</v>
      </c>
      <c r="B1149" s="34" t="s">
        <v>4</v>
      </c>
      <c r="C1149" s="82" t="s">
        <v>168</v>
      </c>
      <c r="D1149" s="68" t="s">
        <v>945</v>
      </c>
      <c r="E1149" s="5">
        <f>'ПДФО ГРОМАДИ'!M1149</f>
        <v>0</v>
      </c>
      <c r="F1149" s="5">
        <f>'ПДФО ГРОМАДИ'!N1149</f>
        <v>0</v>
      </c>
    </row>
    <row r="1150" spans="1:6" ht="15.75" x14ac:dyDescent="0.25">
      <c r="A1150" s="38">
        <v>18</v>
      </c>
      <c r="B1150" s="34" t="s">
        <v>4</v>
      </c>
      <c r="C1150" s="82" t="s">
        <v>169</v>
      </c>
      <c r="D1150" s="68" t="s">
        <v>946</v>
      </c>
      <c r="E1150" s="5">
        <f>'ПДФО ГРОМАДИ'!M1150</f>
        <v>0</v>
      </c>
      <c r="F1150" s="5">
        <f>'ПДФО ГРОМАДИ'!N1150</f>
        <v>0</v>
      </c>
    </row>
    <row r="1151" spans="1:6" ht="15.75" x14ac:dyDescent="0.25">
      <c r="A1151" s="38">
        <v>18</v>
      </c>
      <c r="B1151" s="34" t="s">
        <v>4</v>
      </c>
      <c r="C1151" s="82" t="s">
        <v>170</v>
      </c>
      <c r="D1151" s="68" t="s">
        <v>947</v>
      </c>
      <c r="E1151" s="5">
        <f>'ПДФО ГРОМАДИ'!M1151</f>
        <v>0</v>
      </c>
      <c r="F1151" s="5">
        <f>'ПДФО ГРОМАДИ'!N1151</f>
        <v>0</v>
      </c>
    </row>
    <row r="1152" spans="1:6" ht="15.75" x14ac:dyDescent="0.25">
      <c r="A1152" s="38">
        <v>18</v>
      </c>
      <c r="B1152" s="34" t="s">
        <v>4</v>
      </c>
      <c r="C1152" s="18" t="s">
        <v>171</v>
      </c>
      <c r="D1152" s="32" t="s">
        <v>948</v>
      </c>
      <c r="E1152" s="5">
        <f>'ПДФО ГРОМАДИ'!M1152</f>
        <v>0</v>
      </c>
      <c r="F1152" s="5">
        <f>'ПДФО ГРОМАДИ'!N1152</f>
        <v>0</v>
      </c>
    </row>
    <row r="1153" spans="1:6" ht="15.75" x14ac:dyDescent="0.25">
      <c r="A1153" s="37">
        <v>18</v>
      </c>
      <c r="B1153" s="19" t="s">
        <v>28</v>
      </c>
      <c r="C1153" s="19" t="s">
        <v>807</v>
      </c>
      <c r="D1153" s="20" t="s">
        <v>2784</v>
      </c>
      <c r="E1153" s="7">
        <f>SUM(E1154:E1204)</f>
        <v>194594.59999999998</v>
      </c>
      <c r="F1153" s="7">
        <f>SUM(F1154:F1204)</f>
        <v>254659.50000000006</v>
      </c>
    </row>
    <row r="1154" spans="1:6" ht="15.75" x14ac:dyDescent="0.25">
      <c r="A1154" s="38">
        <v>18</v>
      </c>
      <c r="B1154" s="34" t="s">
        <v>984</v>
      </c>
      <c r="C1154" s="18" t="s">
        <v>172</v>
      </c>
      <c r="D1154" s="32" t="s">
        <v>1461</v>
      </c>
      <c r="E1154" s="5">
        <f>'ПДФО ГРОМАДИ'!M1154</f>
        <v>0</v>
      </c>
      <c r="F1154" s="5">
        <f>'ПДФО ГРОМАДИ'!N1154</f>
        <v>2008.4</v>
      </c>
    </row>
    <row r="1155" spans="1:6" ht="15.75" x14ac:dyDescent="0.25">
      <c r="A1155" s="38">
        <v>18</v>
      </c>
      <c r="B1155" s="34" t="s">
        <v>983</v>
      </c>
      <c r="C1155" s="18" t="s">
        <v>411</v>
      </c>
      <c r="D1155" s="32" t="s">
        <v>2309</v>
      </c>
      <c r="E1155" s="5">
        <f>'ПДФО ГРОМАДИ'!M1155</f>
        <v>2029.2</v>
      </c>
      <c r="F1155" s="5">
        <f>'ПДФО ГРОМАДИ'!N1155</f>
        <v>0</v>
      </c>
    </row>
    <row r="1156" spans="1:6" ht="15.75" x14ac:dyDescent="0.25">
      <c r="A1156" s="38">
        <v>18</v>
      </c>
      <c r="B1156" s="34" t="s">
        <v>985</v>
      </c>
      <c r="C1156" s="18" t="s">
        <v>412</v>
      </c>
      <c r="D1156" s="32" t="s">
        <v>2310</v>
      </c>
      <c r="E1156" s="5">
        <f>'ПДФО ГРОМАДИ'!M1156</f>
        <v>0</v>
      </c>
      <c r="F1156" s="5">
        <f>'ПДФО ГРОМАДИ'!N1156</f>
        <v>4154.1000000000004</v>
      </c>
    </row>
    <row r="1157" spans="1:6" ht="15.75" x14ac:dyDescent="0.25">
      <c r="A1157" s="38">
        <v>18</v>
      </c>
      <c r="B1157" s="34" t="s">
        <v>985</v>
      </c>
      <c r="C1157" s="18" t="s">
        <v>413</v>
      </c>
      <c r="D1157" s="32" t="s">
        <v>2311</v>
      </c>
      <c r="E1157" s="5">
        <f>'ПДФО ГРОМАДИ'!M1157</f>
        <v>0</v>
      </c>
      <c r="F1157" s="5">
        <f>'ПДФО ГРОМАДИ'!N1157</f>
        <v>6141.5</v>
      </c>
    </row>
    <row r="1158" spans="1:6" s="75" customFormat="1" ht="15.75" x14ac:dyDescent="0.25">
      <c r="A1158" s="38">
        <v>18</v>
      </c>
      <c r="B1158" s="34" t="s">
        <v>985</v>
      </c>
      <c r="C1158" s="18" t="s">
        <v>414</v>
      </c>
      <c r="D1158" s="32" t="s">
        <v>2162</v>
      </c>
      <c r="E1158" s="5">
        <f>'ПДФО ГРОМАДИ'!M1158</f>
        <v>0</v>
      </c>
      <c r="F1158" s="5">
        <f>'ПДФО ГРОМАДИ'!N1158</f>
        <v>3432.6</v>
      </c>
    </row>
    <row r="1159" spans="1:6" s="75" customFormat="1" ht="15.75" x14ac:dyDescent="0.25">
      <c r="A1159" s="38">
        <v>18</v>
      </c>
      <c r="B1159" s="34" t="s">
        <v>985</v>
      </c>
      <c r="C1159" s="18" t="s">
        <v>415</v>
      </c>
      <c r="D1159" s="32" t="s">
        <v>2312</v>
      </c>
      <c r="E1159" s="5">
        <f>'ПДФО ГРОМАДИ'!M1159</f>
        <v>0</v>
      </c>
      <c r="F1159" s="5">
        <f>'ПДФО ГРОМАДИ'!N1159</f>
        <v>0</v>
      </c>
    </row>
    <row r="1160" spans="1:6" ht="15.75" x14ac:dyDescent="0.25">
      <c r="A1160" s="38">
        <v>18</v>
      </c>
      <c r="B1160" s="34" t="s">
        <v>985</v>
      </c>
      <c r="C1160" s="18" t="s">
        <v>416</v>
      </c>
      <c r="D1160" s="32" t="s">
        <v>2313</v>
      </c>
      <c r="E1160" s="5">
        <f>'ПДФО ГРОМАДИ'!M1160</f>
        <v>258.3</v>
      </c>
      <c r="F1160" s="5">
        <f>'ПДФО ГРОМАДИ'!N1160</f>
        <v>0</v>
      </c>
    </row>
    <row r="1161" spans="1:6" ht="15.75" x14ac:dyDescent="0.25">
      <c r="A1161" s="38">
        <v>18</v>
      </c>
      <c r="B1161" s="34" t="s">
        <v>985</v>
      </c>
      <c r="C1161" s="18" t="s">
        <v>417</v>
      </c>
      <c r="D1161" s="32" t="s">
        <v>2314</v>
      </c>
      <c r="E1161" s="5">
        <f>'ПДФО ГРОМАДИ'!M1161</f>
        <v>0</v>
      </c>
      <c r="F1161" s="5">
        <f>'ПДФО ГРОМАДИ'!N1161</f>
        <v>0</v>
      </c>
    </row>
    <row r="1162" spans="1:6" ht="15.75" x14ac:dyDescent="0.25">
      <c r="A1162" s="38">
        <v>18</v>
      </c>
      <c r="B1162" s="34" t="s">
        <v>984</v>
      </c>
      <c r="C1162" s="18" t="s">
        <v>418</v>
      </c>
      <c r="D1162" s="32" t="s">
        <v>2315</v>
      </c>
      <c r="E1162" s="5">
        <f>'ПДФО ГРОМАДИ'!M1162</f>
        <v>0</v>
      </c>
      <c r="F1162" s="5">
        <f>'ПДФО ГРОМАДИ'!N1162</f>
        <v>3173.9</v>
      </c>
    </row>
    <row r="1163" spans="1:6" ht="15.75" x14ac:dyDescent="0.25">
      <c r="A1163" s="38">
        <v>18</v>
      </c>
      <c r="B1163" s="34" t="s">
        <v>984</v>
      </c>
      <c r="C1163" s="18" t="s">
        <v>419</v>
      </c>
      <c r="D1163" s="32" t="s">
        <v>2316</v>
      </c>
      <c r="E1163" s="5">
        <f>'ПДФО ГРОМАДИ'!M1163</f>
        <v>0</v>
      </c>
      <c r="F1163" s="5">
        <f>'ПДФО ГРОМАДИ'!N1163</f>
        <v>0</v>
      </c>
    </row>
    <row r="1164" spans="1:6" ht="15.75" x14ac:dyDescent="0.25">
      <c r="A1164" s="38">
        <v>18</v>
      </c>
      <c r="B1164" s="34" t="s">
        <v>984</v>
      </c>
      <c r="C1164" s="18" t="s">
        <v>420</v>
      </c>
      <c r="D1164" s="32" t="s">
        <v>2317</v>
      </c>
      <c r="E1164" s="5">
        <f>'ПДФО ГРОМАДИ'!M1164</f>
        <v>0</v>
      </c>
      <c r="F1164" s="5">
        <f>'ПДФО ГРОМАДИ'!N1164</f>
        <v>6360.9</v>
      </c>
    </row>
    <row r="1165" spans="1:6" ht="15.75" x14ac:dyDescent="0.25">
      <c r="A1165" s="38">
        <v>18</v>
      </c>
      <c r="B1165" s="34" t="s">
        <v>984</v>
      </c>
      <c r="C1165" s="18" t="s">
        <v>421</v>
      </c>
      <c r="D1165" s="32" t="s">
        <v>2318</v>
      </c>
      <c r="E1165" s="5">
        <f>'ПДФО ГРОМАДИ'!M1165</f>
        <v>7412.4</v>
      </c>
      <c r="F1165" s="5">
        <f>'ПДФО ГРОМАДИ'!N1165</f>
        <v>0</v>
      </c>
    </row>
    <row r="1166" spans="1:6" ht="15.75" x14ac:dyDescent="0.25">
      <c r="A1166" s="38">
        <v>18</v>
      </c>
      <c r="B1166" s="34" t="s">
        <v>984</v>
      </c>
      <c r="C1166" s="18" t="s">
        <v>422</v>
      </c>
      <c r="D1166" s="32" t="s">
        <v>2319</v>
      </c>
      <c r="E1166" s="5">
        <f>'ПДФО ГРОМАДИ'!M1166</f>
        <v>0</v>
      </c>
      <c r="F1166" s="5">
        <f>'ПДФО ГРОМАДИ'!N1166</f>
        <v>1848.7</v>
      </c>
    </row>
    <row r="1167" spans="1:6" ht="15.75" x14ac:dyDescent="0.25">
      <c r="A1167" s="38">
        <v>18</v>
      </c>
      <c r="B1167" s="34" t="s">
        <v>984</v>
      </c>
      <c r="C1167" s="18" t="s">
        <v>423</v>
      </c>
      <c r="D1167" s="32" t="s">
        <v>2320</v>
      </c>
      <c r="E1167" s="5">
        <f>'ПДФО ГРОМАДИ'!M1167</f>
        <v>0</v>
      </c>
      <c r="F1167" s="5">
        <f>'ПДФО ГРОМАДИ'!N1167</f>
        <v>6964.1</v>
      </c>
    </row>
    <row r="1168" spans="1:6" ht="15.75" x14ac:dyDescent="0.25">
      <c r="A1168" s="38">
        <v>18</v>
      </c>
      <c r="B1168" s="34" t="s">
        <v>984</v>
      </c>
      <c r="C1168" s="18" t="s">
        <v>494</v>
      </c>
      <c r="D1168" s="32" t="s">
        <v>1445</v>
      </c>
      <c r="E1168" s="5">
        <f>'ПДФО ГРОМАДИ'!M1168</f>
        <v>0</v>
      </c>
      <c r="F1168" s="5">
        <f>'ПДФО ГРОМАДИ'!N1168</f>
        <v>1751.2</v>
      </c>
    </row>
    <row r="1169" spans="1:6" ht="15.75" x14ac:dyDescent="0.25">
      <c r="A1169" s="38">
        <v>18</v>
      </c>
      <c r="B1169" s="34" t="s">
        <v>983</v>
      </c>
      <c r="C1169" s="18" t="s">
        <v>495</v>
      </c>
      <c r="D1169" s="32" t="s">
        <v>2321</v>
      </c>
      <c r="E1169" s="5">
        <f>'ПДФО ГРОМАДИ'!M1169</f>
        <v>0</v>
      </c>
      <c r="F1169" s="5">
        <f>'ПДФО ГРОМАДИ'!N1169</f>
        <v>21375.3</v>
      </c>
    </row>
    <row r="1170" spans="1:6" ht="15.75" x14ac:dyDescent="0.25">
      <c r="A1170" s="38">
        <v>18</v>
      </c>
      <c r="B1170" s="34" t="s">
        <v>985</v>
      </c>
      <c r="C1170" s="18" t="s">
        <v>496</v>
      </c>
      <c r="D1170" s="32" t="s">
        <v>2322</v>
      </c>
      <c r="E1170" s="5">
        <f>'ПДФО ГРОМАДИ'!M1170</f>
        <v>0</v>
      </c>
      <c r="F1170" s="5">
        <f>'ПДФО ГРОМАДИ'!N1170</f>
        <v>2886.3</v>
      </c>
    </row>
    <row r="1171" spans="1:6" ht="15.75" x14ac:dyDescent="0.25">
      <c r="A1171" s="38">
        <v>18</v>
      </c>
      <c r="B1171" s="34" t="s">
        <v>984</v>
      </c>
      <c r="C1171" s="18" t="s">
        <v>497</v>
      </c>
      <c r="D1171" s="32" t="s">
        <v>2323</v>
      </c>
      <c r="E1171" s="5">
        <f>'ПДФО ГРОМАДИ'!M1171</f>
        <v>0</v>
      </c>
      <c r="F1171" s="5">
        <f>'ПДФО ГРОМАДИ'!N1171</f>
        <v>0</v>
      </c>
    </row>
    <row r="1172" spans="1:6" ht="15.75" x14ac:dyDescent="0.25">
      <c r="A1172" s="38">
        <v>18</v>
      </c>
      <c r="B1172" s="34" t="s">
        <v>983</v>
      </c>
      <c r="C1172" s="18" t="s">
        <v>612</v>
      </c>
      <c r="D1172" s="32" t="s">
        <v>2324</v>
      </c>
      <c r="E1172" s="5">
        <f>'ПДФО ГРОМАДИ'!M1172</f>
        <v>0</v>
      </c>
      <c r="F1172" s="5">
        <f>'ПДФО ГРОМАДИ'!N1172</f>
        <v>9455.7000000000007</v>
      </c>
    </row>
    <row r="1173" spans="1:6" ht="15.75" x14ac:dyDescent="0.25">
      <c r="A1173" s="38">
        <v>18</v>
      </c>
      <c r="B1173" s="34" t="s">
        <v>985</v>
      </c>
      <c r="C1173" s="18" t="s">
        <v>613</v>
      </c>
      <c r="D1173" s="32" t="s">
        <v>2325</v>
      </c>
      <c r="E1173" s="5">
        <f>'ПДФО ГРОМАДИ'!M1173</f>
        <v>0</v>
      </c>
      <c r="F1173" s="5">
        <f>'ПДФО ГРОМАДИ'!N1173</f>
        <v>0</v>
      </c>
    </row>
    <row r="1174" spans="1:6" ht="15.75" x14ac:dyDescent="0.25">
      <c r="A1174" s="38">
        <v>18</v>
      </c>
      <c r="B1174" s="34" t="s">
        <v>984</v>
      </c>
      <c r="C1174" s="18" t="s">
        <v>614</v>
      </c>
      <c r="D1174" s="32" t="s">
        <v>2326</v>
      </c>
      <c r="E1174" s="5">
        <f>'ПДФО ГРОМАДИ'!M1174</f>
        <v>0</v>
      </c>
      <c r="F1174" s="5">
        <f>'ПДФО ГРОМАДИ'!N1174</f>
        <v>3381.6</v>
      </c>
    </row>
    <row r="1175" spans="1:6" ht="15.75" x14ac:dyDescent="0.25">
      <c r="A1175" s="38">
        <v>18</v>
      </c>
      <c r="B1175" s="34" t="s">
        <v>984</v>
      </c>
      <c r="C1175" s="18" t="s">
        <v>615</v>
      </c>
      <c r="D1175" s="32" t="s">
        <v>2327</v>
      </c>
      <c r="E1175" s="5">
        <f>'ПДФО ГРОМАДИ'!M1175</f>
        <v>7336.4</v>
      </c>
      <c r="F1175" s="5">
        <f>'ПДФО ГРОМАДИ'!N1175</f>
        <v>0</v>
      </c>
    </row>
    <row r="1176" spans="1:6" ht="15.75" x14ac:dyDescent="0.25">
      <c r="A1176" s="38">
        <v>18</v>
      </c>
      <c r="B1176" s="34" t="s">
        <v>984</v>
      </c>
      <c r="C1176" s="18" t="s">
        <v>616</v>
      </c>
      <c r="D1176" s="32" t="s">
        <v>2328</v>
      </c>
      <c r="E1176" s="5">
        <f>'ПДФО ГРОМАДИ'!M1176</f>
        <v>242.3</v>
      </c>
      <c r="F1176" s="5">
        <f>'ПДФО ГРОМАДИ'!N1176</f>
        <v>0</v>
      </c>
    </row>
    <row r="1177" spans="1:6" ht="15.75" x14ac:dyDescent="0.25">
      <c r="A1177" s="38">
        <v>18</v>
      </c>
      <c r="B1177" s="34" t="s">
        <v>984</v>
      </c>
      <c r="C1177" s="18" t="s">
        <v>617</v>
      </c>
      <c r="D1177" s="32" t="s">
        <v>2329</v>
      </c>
      <c r="E1177" s="5">
        <f>'ПДФО ГРОМАДИ'!M1177</f>
        <v>0</v>
      </c>
      <c r="F1177" s="5">
        <f>'ПДФО ГРОМАДИ'!N1177</f>
        <v>3234.1</v>
      </c>
    </row>
    <row r="1178" spans="1:6" ht="15.75" x14ac:dyDescent="0.25">
      <c r="A1178" s="38">
        <v>18</v>
      </c>
      <c r="B1178" s="34" t="s">
        <v>985</v>
      </c>
      <c r="C1178" s="18" t="s">
        <v>618</v>
      </c>
      <c r="D1178" s="32" t="s">
        <v>2330</v>
      </c>
      <c r="E1178" s="5">
        <f>'ПДФО ГРОМАДИ'!M1178</f>
        <v>2585.6</v>
      </c>
      <c r="F1178" s="5">
        <f>'ПДФО ГРОМАДИ'!N1178</f>
        <v>0</v>
      </c>
    </row>
    <row r="1179" spans="1:6" ht="15.75" x14ac:dyDescent="0.25">
      <c r="A1179" s="38">
        <v>18</v>
      </c>
      <c r="B1179" s="34" t="s">
        <v>983</v>
      </c>
      <c r="C1179" s="18" t="s">
        <v>619</v>
      </c>
      <c r="D1179" s="32" t="s">
        <v>2331</v>
      </c>
      <c r="E1179" s="5">
        <f>'ПДФО ГРОМАДИ'!M1179</f>
        <v>0</v>
      </c>
      <c r="F1179" s="5">
        <f>'ПДФО ГРОМАДИ'!N1179</f>
        <v>0</v>
      </c>
    </row>
    <row r="1180" spans="1:6" ht="15.75" x14ac:dyDescent="0.25">
      <c r="A1180" s="38">
        <v>18</v>
      </c>
      <c r="B1180" s="34" t="s">
        <v>984</v>
      </c>
      <c r="C1180" s="18" t="s">
        <v>620</v>
      </c>
      <c r="D1180" s="32" t="s">
        <v>2332</v>
      </c>
      <c r="E1180" s="5">
        <f>'ПДФО ГРОМАДИ'!M1180</f>
        <v>0</v>
      </c>
      <c r="F1180" s="5">
        <f>'ПДФО ГРОМАДИ'!N1180</f>
        <v>6268.8</v>
      </c>
    </row>
    <row r="1181" spans="1:6" ht="15.75" x14ac:dyDescent="0.25">
      <c r="A1181" s="38">
        <v>18</v>
      </c>
      <c r="B1181" s="34" t="s">
        <v>985</v>
      </c>
      <c r="C1181" s="18" t="s">
        <v>715</v>
      </c>
      <c r="D1181" s="32" t="s">
        <v>2333</v>
      </c>
      <c r="E1181" s="5">
        <f>'ПДФО ГРОМАДИ'!M1181</f>
        <v>0</v>
      </c>
      <c r="F1181" s="5">
        <f>'ПДФО ГРОМАДИ'!N1181</f>
        <v>5402.4</v>
      </c>
    </row>
    <row r="1182" spans="1:6" ht="15.75" x14ac:dyDescent="0.25">
      <c r="A1182" s="38">
        <v>18</v>
      </c>
      <c r="B1182" s="34" t="s">
        <v>984</v>
      </c>
      <c r="C1182" s="18">
        <v>18529000000</v>
      </c>
      <c r="D1182" s="32" t="s">
        <v>2334</v>
      </c>
      <c r="E1182" s="5">
        <f>'ПДФО ГРОМАДИ'!M1182</f>
        <v>0</v>
      </c>
      <c r="F1182" s="5">
        <f>'ПДФО ГРОМАДИ'!N1182</f>
        <v>0</v>
      </c>
    </row>
    <row r="1183" spans="1:6" ht="15.75" x14ac:dyDescent="0.25">
      <c r="A1183" s="38">
        <v>18</v>
      </c>
      <c r="B1183" s="34" t="s">
        <v>986</v>
      </c>
      <c r="C1183" s="18">
        <v>18530000000</v>
      </c>
      <c r="D1183" s="32" t="s">
        <v>2335</v>
      </c>
      <c r="E1183" s="5">
        <f>'ПДФО ГРОМАДИ'!M1183</f>
        <v>0</v>
      </c>
      <c r="F1183" s="5">
        <f>'ПДФО ГРОМАДИ'!N1183</f>
        <v>49986.3</v>
      </c>
    </row>
    <row r="1184" spans="1:6" ht="15.75" x14ac:dyDescent="0.25">
      <c r="A1184" s="38">
        <v>18</v>
      </c>
      <c r="B1184" s="34" t="s">
        <v>986</v>
      </c>
      <c r="C1184" s="18">
        <v>18531000000</v>
      </c>
      <c r="D1184" s="32" t="s">
        <v>2336</v>
      </c>
      <c r="E1184" s="5">
        <f>'ПДФО ГРОМАДИ'!M1184</f>
        <v>169940.1</v>
      </c>
      <c r="F1184" s="5">
        <f>'ПДФО ГРОМАДИ'!N1184</f>
        <v>0</v>
      </c>
    </row>
    <row r="1185" spans="1:6" ht="15.75" x14ac:dyDescent="0.25">
      <c r="A1185" s="38">
        <v>18</v>
      </c>
      <c r="B1185" s="34" t="s">
        <v>985</v>
      </c>
      <c r="C1185" s="18">
        <v>18532000000</v>
      </c>
      <c r="D1185" s="32" t="s">
        <v>2337</v>
      </c>
      <c r="E1185" s="5">
        <f>'ПДФО ГРОМАДИ'!M1185</f>
        <v>4265.3</v>
      </c>
      <c r="F1185" s="5">
        <f>'ПДФО ГРОМАДИ'!N1185</f>
        <v>0</v>
      </c>
    </row>
    <row r="1186" spans="1:6" ht="15.75" x14ac:dyDescent="0.25">
      <c r="A1186" s="38">
        <v>18</v>
      </c>
      <c r="B1186" s="34" t="s">
        <v>984</v>
      </c>
      <c r="C1186" s="18">
        <v>18533000000</v>
      </c>
      <c r="D1186" s="32" t="s">
        <v>2338</v>
      </c>
      <c r="E1186" s="5">
        <f>'ПДФО ГРОМАДИ'!M1186</f>
        <v>0</v>
      </c>
      <c r="F1186" s="5">
        <f>'ПДФО ГРОМАДИ'!N1186</f>
        <v>0</v>
      </c>
    </row>
    <row r="1187" spans="1:6" ht="15.75" x14ac:dyDescent="0.25">
      <c r="A1187" s="38">
        <v>18</v>
      </c>
      <c r="B1187" s="34" t="s">
        <v>986</v>
      </c>
      <c r="C1187" s="18">
        <v>18534000000</v>
      </c>
      <c r="D1187" s="32" t="s">
        <v>2339</v>
      </c>
      <c r="E1187" s="5">
        <f>'ПДФО ГРОМАДИ'!M1187</f>
        <v>0</v>
      </c>
      <c r="F1187" s="5">
        <f>'ПДФО ГРОМАДИ'!N1187</f>
        <v>5947</v>
      </c>
    </row>
    <row r="1188" spans="1:6" ht="15.75" x14ac:dyDescent="0.25">
      <c r="A1188" s="38">
        <v>18</v>
      </c>
      <c r="B1188" s="34" t="s">
        <v>983</v>
      </c>
      <c r="C1188" s="18">
        <v>18535000000</v>
      </c>
      <c r="D1188" s="32" t="s">
        <v>2340</v>
      </c>
      <c r="E1188" s="5">
        <f>'ПДФО ГРОМАДИ'!M1188</f>
        <v>0</v>
      </c>
      <c r="F1188" s="5">
        <f>'ПДФО ГРОМАДИ'!N1188</f>
        <v>8248.5</v>
      </c>
    </row>
    <row r="1189" spans="1:6" ht="15.75" x14ac:dyDescent="0.25">
      <c r="A1189" s="38">
        <v>18</v>
      </c>
      <c r="B1189" s="34" t="s">
        <v>984</v>
      </c>
      <c r="C1189" s="18">
        <v>18536000000</v>
      </c>
      <c r="D1189" s="32" t="s">
        <v>2341</v>
      </c>
      <c r="E1189" s="5">
        <f>'ПДФО ГРОМАДИ'!M1189</f>
        <v>0</v>
      </c>
      <c r="F1189" s="5">
        <f>'ПДФО ГРОМАДИ'!N1189</f>
        <v>0</v>
      </c>
    </row>
    <row r="1190" spans="1:6" ht="15.75" x14ac:dyDescent="0.25">
      <c r="A1190" s="38">
        <v>18</v>
      </c>
      <c r="B1190" s="34" t="s">
        <v>986</v>
      </c>
      <c r="C1190" s="18">
        <v>18537000000</v>
      </c>
      <c r="D1190" s="32" t="s">
        <v>2342</v>
      </c>
      <c r="E1190" s="5">
        <f>'ПДФО ГРОМАДИ'!M1190</f>
        <v>0</v>
      </c>
      <c r="F1190" s="5">
        <f>'ПДФО ГРОМАДИ'!N1190</f>
        <v>0</v>
      </c>
    </row>
    <row r="1191" spans="1:6" ht="15.75" x14ac:dyDescent="0.25">
      <c r="A1191" s="38">
        <v>18</v>
      </c>
      <c r="B1191" s="34" t="s">
        <v>983</v>
      </c>
      <c r="C1191" s="18">
        <v>18538000000</v>
      </c>
      <c r="D1191" s="32" t="s">
        <v>2343</v>
      </c>
      <c r="E1191" s="5">
        <f>'ПДФО ГРОМАДИ'!M1191</f>
        <v>0</v>
      </c>
      <c r="F1191" s="5">
        <f>'ПДФО ГРОМАДИ'!N1191</f>
        <v>18035.2</v>
      </c>
    </row>
    <row r="1192" spans="1:6" ht="15.75" x14ac:dyDescent="0.25">
      <c r="A1192" s="38">
        <v>18</v>
      </c>
      <c r="B1192" s="34" t="s">
        <v>985</v>
      </c>
      <c r="C1192" s="18">
        <v>18539000000</v>
      </c>
      <c r="D1192" s="32" t="s">
        <v>2344</v>
      </c>
      <c r="E1192" s="5">
        <f>'ПДФО ГРОМАДИ'!M1192</f>
        <v>0</v>
      </c>
      <c r="F1192" s="5">
        <f>'ПДФО ГРОМАДИ'!N1192</f>
        <v>0</v>
      </c>
    </row>
    <row r="1193" spans="1:6" ht="15.75" x14ac:dyDescent="0.25">
      <c r="A1193" s="38">
        <v>18</v>
      </c>
      <c r="B1193" s="34" t="s">
        <v>983</v>
      </c>
      <c r="C1193" s="18">
        <v>18540000000</v>
      </c>
      <c r="D1193" s="32" t="s">
        <v>2345</v>
      </c>
      <c r="E1193" s="5">
        <f>'ПДФО ГРОМАДИ'!M1193</f>
        <v>0</v>
      </c>
      <c r="F1193" s="5">
        <f>'ПДФО ГРОМАДИ'!N1193</f>
        <v>12013.7</v>
      </c>
    </row>
    <row r="1194" spans="1:6" ht="15.75" x14ac:dyDescent="0.25">
      <c r="A1194" s="38">
        <v>18</v>
      </c>
      <c r="B1194" s="34" t="s">
        <v>986</v>
      </c>
      <c r="C1194" s="18">
        <v>18541000000</v>
      </c>
      <c r="D1194" s="32" t="s">
        <v>2346</v>
      </c>
      <c r="E1194" s="5">
        <f>'ПДФО ГРОМАДИ'!M1194</f>
        <v>0</v>
      </c>
      <c r="F1194" s="5">
        <f>'ПДФО ГРОМАДИ'!N1194</f>
        <v>17101.599999999999</v>
      </c>
    </row>
    <row r="1195" spans="1:6" ht="15.75" x14ac:dyDescent="0.25">
      <c r="A1195" s="38">
        <v>18</v>
      </c>
      <c r="B1195" s="34" t="s">
        <v>985</v>
      </c>
      <c r="C1195" s="18">
        <v>18542000000</v>
      </c>
      <c r="D1195" s="32" t="s">
        <v>2347</v>
      </c>
      <c r="E1195" s="5">
        <f>'ПДФО ГРОМАДИ'!M1195</f>
        <v>525</v>
      </c>
      <c r="F1195" s="5">
        <f>'ПДФО ГРОМАДИ'!N1195</f>
        <v>0</v>
      </c>
    </row>
    <row r="1196" spans="1:6" ht="15.75" x14ac:dyDescent="0.25">
      <c r="A1196" s="38">
        <v>18</v>
      </c>
      <c r="B1196" s="34" t="s">
        <v>986</v>
      </c>
      <c r="C1196" s="18">
        <v>18543000000</v>
      </c>
      <c r="D1196" s="32" t="s">
        <v>2348</v>
      </c>
      <c r="E1196" s="5">
        <f>'ПДФО ГРОМАДИ'!M1196</f>
        <v>0</v>
      </c>
      <c r="F1196" s="5">
        <f>'ПДФО ГРОМАДИ'!N1196</f>
        <v>22936.5</v>
      </c>
    </row>
    <row r="1197" spans="1:6" ht="15.75" x14ac:dyDescent="0.25">
      <c r="A1197" s="38">
        <v>18</v>
      </c>
      <c r="B1197" s="34" t="s">
        <v>984</v>
      </c>
      <c r="C1197" s="18">
        <v>18544000000</v>
      </c>
      <c r="D1197" s="32" t="s">
        <v>2349</v>
      </c>
      <c r="E1197" s="5">
        <f>'ПДФО ГРОМАДИ'!M1197</f>
        <v>0</v>
      </c>
      <c r="F1197" s="5">
        <f>'ПДФО ГРОМАДИ'!N1197</f>
        <v>5101.6000000000004</v>
      </c>
    </row>
    <row r="1198" spans="1:6" ht="15.75" x14ac:dyDescent="0.25">
      <c r="A1198" s="38">
        <v>18</v>
      </c>
      <c r="B1198" s="34" t="s">
        <v>986</v>
      </c>
      <c r="C1198" s="18">
        <v>18545000000</v>
      </c>
      <c r="D1198" s="32" t="s">
        <v>2350</v>
      </c>
      <c r="E1198" s="5">
        <f>'ПДФО ГРОМАДИ'!M1198</f>
        <v>0</v>
      </c>
      <c r="F1198" s="5">
        <f>'ПДФО ГРОМАДИ'!N1198</f>
        <v>0</v>
      </c>
    </row>
    <row r="1199" spans="1:6" ht="15.75" x14ac:dyDescent="0.25">
      <c r="A1199" s="38">
        <v>18</v>
      </c>
      <c r="B1199" s="34" t="s">
        <v>984</v>
      </c>
      <c r="C1199" s="18">
        <v>18546000000</v>
      </c>
      <c r="D1199" s="32" t="s">
        <v>2351</v>
      </c>
      <c r="E1199" s="5">
        <f>'ПДФО ГРОМАДИ'!M1199</f>
        <v>0</v>
      </c>
      <c r="F1199" s="5">
        <f>'ПДФО ГРОМАДИ'!N1199</f>
        <v>0</v>
      </c>
    </row>
    <row r="1200" spans="1:6" ht="15.75" x14ac:dyDescent="0.25">
      <c r="A1200" s="38">
        <v>18</v>
      </c>
      <c r="B1200" s="34" t="s">
        <v>985</v>
      </c>
      <c r="C1200" s="18">
        <v>18547000000</v>
      </c>
      <c r="D1200" s="32" t="s">
        <v>2352</v>
      </c>
      <c r="E1200" s="5">
        <f>'ПДФО ГРОМАДИ'!M1200</f>
        <v>0</v>
      </c>
      <c r="F1200" s="5">
        <f>'ПДФО ГРОМАДИ'!N1200</f>
        <v>10609.5</v>
      </c>
    </row>
    <row r="1201" spans="1:6" ht="15.75" x14ac:dyDescent="0.25">
      <c r="A1201" s="38">
        <v>18</v>
      </c>
      <c r="B1201" s="34" t="s">
        <v>983</v>
      </c>
      <c r="C1201" s="18">
        <v>18548000000</v>
      </c>
      <c r="D1201" s="32" t="s">
        <v>2353</v>
      </c>
      <c r="E1201" s="5">
        <f>'ПДФО ГРОМАДИ'!M1201</f>
        <v>0</v>
      </c>
      <c r="F1201" s="5">
        <f>'ПДФО ГРОМАДИ'!N1201</f>
        <v>9124.9</v>
      </c>
    </row>
    <row r="1202" spans="1:6" ht="15.75" x14ac:dyDescent="0.25">
      <c r="A1202" s="38">
        <v>18</v>
      </c>
      <c r="B1202" s="34" t="s">
        <v>984</v>
      </c>
      <c r="C1202" s="18">
        <v>18549000000</v>
      </c>
      <c r="D1202" s="32" t="s">
        <v>2354</v>
      </c>
      <c r="E1202" s="5">
        <f>'ПДФО ГРОМАДИ'!M1202</f>
        <v>0</v>
      </c>
      <c r="F1202" s="5">
        <f>'ПДФО ГРОМАДИ'!N1202</f>
        <v>3981</v>
      </c>
    </row>
    <row r="1203" spans="1:6" ht="15.75" x14ac:dyDescent="0.25">
      <c r="A1203" s="38">
        <v>18</v>
      </c>
      <c r="B1203" s="34" t="s">
        <v>984</v>
      </c>
      <c r="C1203" s="18">
        <v>18550000000</v>
      </c>
      <c r="D1203" s="32" t="s">
        <v>2355</v>
      </c>
      <c r="E1203" s="5">
        <f>'ПДФО ГРОМАДИ'!M1203</f>
        <v>0</v>
      </c>
      <c r="F1203" s="5">
        <f>'ПДФО ГРОМАДИ'!N1203</f>
        <v>0</v>
      </c>
    </row>
    <row r="1204" spans="1:6" ht="15.75" x14ac:dyDescent="0.25">
      <c r="A1204" s="38">
        <v>18</v>
      </c>
      <c r="B1204" s="34" t="s">
        <v>985</v>
      </c>
      <c r="C1204" s="18">
        <v>18551000000</v>
      </c>
      <c r="D1204" s="32" t="s">
        <v>2356</v>
      </c>
      <c r="E1204" s="5">
        <f>'ПДФО ГРОМАДИ'!M1204</f>
        <v>0</v>
      </c>
      <c r="F1204" s="5">
        <f>'ПДФО ГРОМАДИ'!N1204</f>
        <v>3734.1</v>
      </c>
    </row>
    <row r="1205" spans="1:6" ht="15.75" x14ac:dyDescent="0.25">
      <c r="A1205" s="36">
        <v>19</v>
      </c>
      <c r="B1205" s="17" t="s">
        <v>7</v>
      </c>
      <c r="C1205" s="17" t="s">
        <v>808</v>
      </c>
      <c r="D1205" s="11" t="s">
        <v>21</v>
      </c>
      <c r="E1205" s="11">
        <f>E1206+E1207+E1211</f>
        <v>114825</v>
      </c>
      <c r="F1205" s="11">
        <f>F1206+F1207+F1211</f>
        <v>921419.79999999981</v>
      </c>
    </row>
    <row r="1206" spans="1:6" ht="15.75" x14ac:dyDescent="0.25">
      <c r="A1206" s="38">
        <v>19</v>
      </c>
      <c r="B1206" s="34" t="s">
        <v>6</v>
      </c>
      <c r="C1206" s="18" t="s">
        <v>173</v>
      </c>
      <c r="D1206" s="32" t="s">
        <v>857</v>
      </c>
      <c r="E1206" s="5">
        <f>'ПДФО ОБЛАСНІ'!K21+'ПОДАТОК НА ПРИБУТОК'!K21</f>
        <v>0</v>
      </c>
      <c r="F1206" s="5">
        <f>'ПДФО ОБЛАСНІ'!L21+'ПОДАТОК НА ПРИБУТОК'!L21</f>
        <v>157108.6</v>
      </c>
    </row>
    <row r="1207" spans="1:6" ht="15.75" x14ac:dyDescent="0.25">
      <c r="A1207" s="37">
        <v>19</v>
      </c>
      <c r="B1207" s="19" t="s">
        <v>5</v>
      </c>
      <c r="C1207" s="19" t="s">
        <v>809</v>
      </c>
      <c r="D1207" s="7" t="s">
        <v>2812</v>
      </c>
      <c r="E1207" s="7">
        <f>SUM(E1208:E1210)</f>
        <v>0</v>
      </c>
      <c r="F1207" s="7">
        <f>SUM(F1208:F1210)</f>
        <v>0</v>
      </c>
    </row>
    <row r="1208" spans="1:6" ht="15.75" x14ac:dyDescent="0.25">
      <c r="A1208" s="38">
        <v>19</v>
      </c>
      <c r="B1208" s="34" t="s">
        <v>4</v>
      </c>
      <c r="C1208" s="18" t="s">
        <v>174</v>
      </c>
      <c r="D1208" s="32" t="s">
        <v>949</v>
      </c>
      <c r="E1208" s="5">
        <f>'ПДФО ГРОМАДИ'!M1208</f>
        <v>0</v>
      </c>
      <c r="F1208" s="5">
        <f>'ПДФО ГРОМАДИ'!N1208</f>
        <v>0</v>
      </c>
    </row>
    <row r="1209" spans="1:6" ht="15.75" x14ac:dyDescent="0.25">
      <c r="A1209" s="38">
        <v>19</v>
      </c>
      <c r="B1209" s="34" t="s">
        <v>4</v>
      </c>
      <c r="C1209" s="18" t="s">
        <v>175</v>
      </c>
      <c r="D1209" s="32" t="s">
        <v>950</v>
      </c>
      <c r="E1209" s="5">
        <f>'ПДФО ГРОМАДИ'!M1209</f>
        <v>0</v>
      </c>
      <c r="F1209" s="5">
        <f>'ПДФО ГРОМАДИ'!N1209</f>
        <v>0</v>
      </c>
    </row>
    <row r="1210" spans="1:6" ht="15.75" x14ac:dyDescent="0.25">
      <c r="A1210" s="38">
        <v>19</v>
      </c>
      <c r="B1210" s="34" t="s">
        <v>4</v>
      </c>
      <c r="C1210" s="18" t="s">
        <v>176</v>
      </c>
      <c r="D1210" s="32" t="s">
        <v>951</v>
      </c>
      <c r="E1210" s="5">
        <f>'ПДФО ГРОМАДИ'!M1210</f>
        <v>0</v>
      </c>
      <c r="F1210" s="5">
        <f>'ПДФО ГРОМАДИ'!N1210</f>
        <v>0</v>
      </c>
    </row>
    <row r="1211" spans="1:6" ht="15.75" x14ac:dyDescent="0.25">
      <c r="A1211" s="37">
        <v>19</v>
      </c>
      <c r="B1211" s="19" t="s">
        <v>28</v>
      </c>
      <c r="C1211" s="19" t="s">
        <v>810</v>
      </c>
      <c r="D1211" s="20" t="s">
        <v>2785</v>
      </c>
      <c r="E1211" s="7">
        <f>SUM(E1212:E1266)</f>
        <v>114825</v>
      </c>
      <c r="F1211" s="7">
        <f>SUM(F1212:F1266)</f>
        <v>764311.19999999984</v>
      </c>
    </row>
    <row r="1212" spans="1:6" ht="15.75" x14ac:dyDescent="0.25">
      <c r="A1212" s="38">
        <v>19</v>
      </c>
      <c r="B1212" s="34" t="s">
        <v>984</v>
      </c>
      <c r="C1212" s="18" t="s">
        <v>239</v>
      </c>
      <c r="D1212" s="32" t="s">
        <v>2357</v>
      </c>
      <c r="E1212" s="5">
        <f>'ПДФО ГРОМАДИ'!M1212</f>
        <v>19738.099999999999</v>
      </c>
      <c r="F1212" s="5">
        <f>'ПДФО ГРОМАДИ'!N1212</f>
        <v>0</v>
      </c>
    </row>
    <row r="1213" spans="1:6" ht="15.75" x14ac:dyDescent="0.25">
      <c r="A1213" s="38">
        <v>19</v>
      </c>
      <c r="B1213" s="34" t="s">
        <v>984</v>
      </c>
      <c r="C1213" s="18" t="s">
        <v>240</v>
      </c>
      <c r="D1213" s="32" t="s">
        <v>2358</v>
      </c>
      <c r="E1213" s="5">
        <f>'ПДФО ГРОМАДИ'!M1213</f>
        <v>0</v>
      </c>
      <c r="F1213" s="5">
        <f>'ПДФО ГРОМАДИ'!N1213</f>
        <v>12672.4</v>
      </c>
    </row>
    <row r="1214" spans="1:6" ht="15.75" x14ac:dyDescent="0.25">
      <c r="A1214" s="38">
        <v>19</v>
      </c>
      <c r="B1214" s="34" t="s">
        <v>984</v>
      </c>
      <c r="C1214" s="18" t="s">
        <v>241</v>
      </c>
      <c r="D1214" s="32" t="s">
        <v>2359</v>
      </c>
      <c r="E1214" s="5">
        <f>'ПДФО ГРОМАДИ'!M1214</f>
        <v>0</v>
      </c>
      <c r="F1214" s="5">
        <f>'ПДФО ГРОМАДИ'!N1214</f>
        <v>9375.4</v>
      </c>
    </row>
    <row r="1215" spans="1:6" s="24" customFormat="1" ht="15.75" x14ac:dyDescent="0.25">
      <c r="A1215" s="38">
        <v>19</v>
      </c>
      <c r="B1215" s="34" t="s">
        <v>984</v>
      </c>
      <c r="C1215" s="18" t="s">
        <v>242</v>
      </c>
      <c r="D1215" s="32" t="s">
        <v>2360</v>
      </c>
      <c r="E1215" s="5">
        <f>'ПДФО ГРОМАДИ'!M1215</f>
        <v>0</v>
      </c>
      <c r="F1215" s="5">
        <f>'ПДФО ГРОМАДИ'!N1215</f>
        <v>5673.6</v>
      </c>
    </row>
    <row r="1216" spans="1:6" s="24" customFormat="1" ht="15.75" x14ac:dyDescent="0.25">
      <c r="A1216" s="38">
        <v>19</v>
      </c>
      <c r="B1216" s="34" t="s">
        <v>985</v>
      </c>
      <c r="C1216" s="18" t="s">
        <v>243</v>
      </c>
      <c r="D1216" s="32" t="s">
        <v>2361</v>
      </c>
      <c r="E1216" s="5">
        <f>'ПДФО ГРОМАДИ'!M1216</f>
        <v>0</v>
      </c>
      <c r="F1216" s="5">
        <f>'ПДФО ГРОМАДИ'!N1216</f>
        <v>0</v>
      </c>
    </row>
    <row r="1217" spans="1:6" s="24" customFormat="1" ht="15.75" x14ac:dyDescent="0.25">
      <c r="A1217" s="38">
        <v>19</v>
      </c>
      <c r="B1217" s="34" t="s">
        <v>985</v>
      </c>
      <c r="C1217" s="18" t="s">
        <v>244</v>
      </c>
      <c r="D1217" s="32" t="s">
        <v>2362</v>
      </c>
      <c r="E1217" s="5">
        <f>'ПДФО ГРОМАДИ'!M1217</f>
        <v>0</v>
      </c>
      <c r="F1217" s="5">
        <f>'ПДФО ГРОМАДИ'!N1217</f>
        <v>7338.3</v>
      </c>
    </row>
    <row r="1218" spans="1:6" ht="15.75" x14ac:dyDescent="0.25">
      <c r="A1218" s="38">
        <v>19</v>
      </c>
      <c r="B1218" s="34" t="s">
        <v>984</v>
      </c>
      <c r="C1218" s="18" t="s">
        <v>245</v>
      </c>
      <c r="D1218" s="32" t="s">
        <v>2363</v>
      </c>
      <c r="E1218" s="5">
        <f>'ПДФО ГРОМАДИ'!M1218</f>
        <v>0</v>
      </c>
      <c r="F1218" s="5">
        <f>'ПДФО ГРОМАДИ'!N1218</f>
        <v>8315</v>
      </c>
    </row>
    <row r="1219" spans="1:6" ht="15.75" x14ac:dyDescent="0.25">
      <c r="A1219" s="38">
        <v>19</v>
      </c>
      <c r="B1219" s="34" t="s">
        <v>985</v>
      </c>
      <c r="C1219" s="18" t="s">
        <v>246</v>
      </c>
      <c r="D1219" s="32" t="s">
        <v>2364</v>
      </c>
      <c r="E1219" s="5">
        <f>'ПДФО ГРОМАДИ'!M1219</f>
        <v>0</v>
      </c>
      <c r="F1219" s="5">
        <f>'ПДФО ГРОМАДИ'!N1219</f>
        <v>27558.799999999999</v>
      </c>
    </row>
    <row r="1220" spans="1:6" ht="15.75" x14ac:dyDescent="0.25">
      <c r="A1220" s="38">
        <v>19</v>
      </c>
      <c r="B1220" s="34" t="s">
        <v>984</v>
      </c>
      <c r="C1220" s="18" t="s">
        <v>247</v>
      </c>
      <c r="D1220" s="32" t="s">
        <v>2365</v>
      </c>
      <c r="E1220" s="5">
        <f>'ПДФО ГРОМАДИ'!M1220</f>
        <v>0</v>
      </c>
      <c r="F1220" s="5">
        <f>'ПДФО ГРОМАДИ'!N1220</f>
        <v>2295.1999999999998</v>
      </c>
    </row>
    <row r="1221" spans="1:6" ht="15.75" x14ac:dyDescent="0.25">
      <c r="A1221" s="38">
        <v>19</v>
      </c>
      <c r="B1221" s="34" t="s">
        <v>985</v>
      </c>
      <c r="C1221" s="18" t="s">
        <v>248</v>
      </c>
      <c r="D1221" s="32" t="s">
        <v>2366</v>
      </c>
      <c r="E1221" s="5">
        <f>'ПДФО ГРОМАДИ'!M1221</f>
        <v>0</v>
      </c>
      <c r="F1221" s="5">
        <f>'ПДФО ГРОМАДИ'!N1221</f>
        <v>4961.1000000000004</v>
      </c>
    </row>
    <row r="1222" spans="1:6" ht="15.75" x14ac:dyDescent="0.25">
      <c r="A1222" s="38">
        <v>19</v>
      </c>
      <c r="B1222" s="34" t="s">
        <v>984</v>
      </c>
      <c r="C1222" s="18" t="s">
        <v>249</v>
      </c>
      <c r="D1222" s="32" t="s">
        <v>2367</v>
      </c>
      <c r="E1222" s="5">
        <f>'ПДФО ГРОМАДИ'!M1222</f>
        <v>0</v>
      </c>
      <c r="F1222" s="5">
        <f>'ПДФО ГРОМАДИ'!N1222</f>
        <v>9778.6</v>
      </c>
    </row>
    <row r="1223" spans="1:6" ht="15.75" x14ac:dyDescent="0.25">
      <c r="A1223" s="38">
        <v>19</v>
      </c>
      <c r="B1223" s="34" t="s">
        <v>985</v>
      </c>
      <c r="C1223" s="18" t="s">
        <v>250</v>
      </c>
      <c r="D1223" s="32" t="s">
        <v>2368</v>
      </c>
      <c r="E1223" s="5">
        <f>'ПДФО ГРОМАДИ'!M1223</f>
        <v>0</v>
      </c>
      <c r="F1223" s="5">
        <f>'ПДФО ГРОМАДИ'!N1223</f>
        <v>10605</v>
      </c>
    </row>
    <row r="1224" spans="1:6" ht="15.75" x14ac:dyDescent="0.25">
      <c r="A1224" s="38">
        <v>19</v>
      </c>
      <c r="B1224" s="34" t="s">
        <v>984</v>
      </c>
      <c r="C1224" s="18" t="s">
        <v>251</v>
      </c>
      <c r="D1224" s="32" t="s">
        <v>2369</v>
      </c>
      <c r="E1224" s="5">
        <f>'ПДФО ГРОМАДИ'!M1224</f>
        <v>0</v>
      </c>
      <c r="F1224" s="5">
        <f>'ПДФО ГРОМАДИ'!N1224</f>
        <v>7188.7</v>
      </c>
    </row>
    <row r="1225" spans="1:6" ht="15.75" x14ac:dyDescent="0.25">
      <c r="A1225" s="38">
        <v>19</v>
      </c>
      <c r="B1225" s="34" t="s">
        <v>985</v>
      </c>
      <c r="C1225" s="18" t="s">
        <v>252</v>
      </c>
      <c r="D1225" s="32" t="s">
        <v>2370</v>
      </c>
      <c r="E1225" s="5">
        <f>'ПДФО ГРОМАДИ'!M1225</f>
        <v>0</v>
      </c>
      <c r="F1225" s="5">
        <f>'ПДФО ГРОМАДИ'!N1225</f>
        <v>30062.799999999999</v>
      </c>
    </row>
    <row r="1226" spans="1:6" ht="15.75" x14ac:dyDescent="0.25">
      <c r="A1226" s="38">
        <v>19</v>
      </c>
      <c r="B1226" s="34" t="s">
        <v>985</v>
      </c>
      <c r="C1226" s="18" t="s">
        <v>253</v>
      </c>
      <c r="D1226" s="32" t="s">
        <v>2371</v>
      </c>
      <c r="E1226" s="5">
        <f>'ПДФО ГРОМАДИ'!M1226</f>
        <v>0</v>
      </c>
      <c r="F1226" s="5">
        <f>'ПДФО ГРОМАДИ'!N1226</f>
        <v>23534.9</v>
      </c>
    </row>
    <row r="1227" spans="1:6" ht="15.75" x14ac:dyDescent="0.25">
      <c r="A1227" s="38">
        <v>19</v>
      </c>
      <c r="B1227" s="34" t="s">
        <v>984</v>
      </c>
      <c r="C1227" s="18" t="s">
        <v>254</v>
      </c>
      <c r="D1227" s="32" t="s">
        <v>2372</v>
      </c>
      <c r="E1227" s="5">
        <f>'ПДФО ГРОМАДИ'!M1227</f>
        <v>0</v>
      </c>
      <c r="F1227" s="5">
        <f>'ПДФО ГРОМАДИ'!N1227</f>
        <v>11331.3</v>
      </c>
    </row>
    <row r="1228" spans="1:6" ht="15.75" x14ac:dyDescent="0.25">
      <c r="A1228" s="38">
        <v>19</v>
      </c>
      <c r="B1228" s="34" t="s">
        <v>985</v>
      </c>
      <c r="C1228" s="18" t="s">
        <v>255</v>
      </c>
      <c r="D1228" s="32" t="s">
        <v>2373</v>
      </c>
      <c r="E1228" s="5">
        <f>'ПДФО ГРОМАДИ'!M1228</f>
        <v>0</v>
      </c>
      <c r="F1228" s="5">
        <f>'ПДФО ГРОМАДИ'!N1228</f>
        <v>10531.3</v>
      </c>
    </row>
    <row r="1229" spans="1:6" ht="15.75" x14ac:dyDescent="0.25">
      <c r="A1229" s="38">
        <v>19</v>
      </c>
      <c r="B1229" s="34" t="s">
        <v>983</v>
      </c>
      <c r="C1229" s="18" t="s">
        <v>256</v>
      </c>
      <c r="D1229" s="32" t="s">
        <v>2374</v>
      </c>
      <c r="E1229" s="5">
        <f>'ПДФО ГРОМАДИ'!M1229</f>
        <v>0</v>
      </c>
      <c r="F1229" s="5">
        <f>'ПДФО ГРОМАДИ'!N1229</f>
        <v>26577.599999999999</v>
      </c>
    </row>
    <row r="1230" spans="1:6" ht="15.75" x14ac:dyDescent="0.25">
      <c r="A1230" s="38">
        <v>19</v>
      </c>
      <c r="B1230" s="34" t="s">
        <v>985</v>
      </c>
      <c r="C1230" s="18" t="s">
        <v>257</v>
      </c>
      <c r="D1230" s="32" t="s">
        <v>2375</v>
      </c>
      <c r="E1230" s="5">
        <f>'ПДФО ГРОМАДИ'!M1230</f>
        <v>0</v>
      </c>
      <c r="F1230" s="5">
        <f>'ПДФО ГРОМАДИ'!N1230</f>
        <v>10901.6</v>
      </c>
    </row>
    <row r="1231" spans="1:6" ht="15.75" x14ac:dyDescent="0.25">
      <c r="A1231" s="38">
        <v>19</v>
      </c>
      <c r="B1231" s="34" t="s">
        <v>983</v>
      </c>
      <c r="C1231" s="18" t="s">
        <v>258</v>
      </c>
      <c r="D1231" s="32" t="s">
        <v>2376</v>
      </c>
      <c r="E1231" s="5">
        <f>'ПДФО ГРОМАДИ'!M1231</f>
        <v>0</v>
      </c>
      <c r="F1231" s="5">
        <f>'ПДФО ГРОМАДИ'!N1231</f>
        <v>11253.1</v>
      </c>
    </row>
    <row r="1232" spans="1:6" ht="15.75" x14ac:dyDescent="0.25">
      <c r="A1232" s="38">
        <v>19</v>
      </c>
      <c r="B1232" s="34" t="s">
        <v>984</v>
      </c>
      <c r="C1232" s="18" t="s">
        <v>259</v>
      </c>
      <c r="D1232" s="32" t="s">
        <v>2377</v>
      </c>
      <c r="E1232" s="5">
        <f>'ПДФО ГРОМАДИ'!M1232</f>
        <v>0</v>
      </c>
      <c r="F1232" s="5">
        <f>'ПДФО ГРОМАДИ'!N1232</f>
        <v>0</v>
      </c>
    </row>
    <row r="1233" spans="1:6" ht="15.75" x14ac:dyDescent="0.25">
      <c r="A1233" s="38">
        <v>19</v>
      </c>
      <c r="B1233" s="34" t="s">
        <v>983</v>
      </c>
      <c r="C1233" s="18" t="s">
        <v>260</v>
      </c>
      <c r="D1233" s="32" t="s">
        <v>2378</v>
      </c>
      <c r="E1233" s="5">
        <f>'ПДФО ГРОМАДИ'!M1233</f>
        <v>0</v>
      </c>
      <c r="F1233" s="5">
        <f>'ПДФО ГРОМАДИ'!N1233</f>
        <v>22286.5</v>
      </c>
    </row>
    <row r="1234" spans="1:6" ht="15.75" x14ac:dyDescent="0.25">
      <c r="A1234" s="38">
        <v>19</v>
      </c>
      <c r="B1234" s="34" t="s">
        <v>983</v>
      </c>
      <c r="C1234" s="18" t="s">
        <v>261</v>
      </c>
      <c r="D1234" s="32" t="s">
        <v>2379</v>
      </c>
      <c r="E1234" s="5">
        <f>'ПДФО ГРОМАДИ'!M1234</f>
        <v>0</v>
      </c>
      <c r="F1234" s="5">
        <f>'ПДФО ГРОМАДИ'!N1234</f>
        <v>26350.9</v>
      </c>
    </row>
    <row r="1235" spans="1:6" ht="15.75" x14ac:dyDescent="0.25">
      <c r="A1235" s="38">
        <v>19</v>
      </c>
      <c r="B1235" s="34" t="s">
        <v>983</v>
      </c>
      <c r="C1235" s="18" t="s">
        <v>424</v>
      </c>
      <c r="D1235" s="32" t="s">
        <v>2380</v>
      </c>
      <c r="E1235" s="5">
        <f>'ПДФО ГРОМАДИ'!M1235</f>
        <v>0</v>
      </c>
      <c r="F1235" s="5">
        <f>'ПДФО ГРОМАДИ'!N1235</f>
        <v>33492.800000000003</v>
      </c>
    </row>
    <row r="1236" spans="1:6" ht="15.75" x14ac:dyDescent="0.25">
      <c r="A1236" s="38">
        <v>19</v>
      </c>
      <c r="B1236" s="34" t="s">
        <v>985</v>
      </c>
      <c r="C1236" s="18" t="s">
        <v>425</v>
      </c>
      <c r="D1236" s="32" t="s">
        <v>2381</v>
      </c>
      <c r="E1236" s="5">
        <f>'ПДФО ГРОМАДИ'!M1236</f>
        <v>0</v>
      </c>
      <c r="F1236" s="5">
        <f>'ПДФО ГРОМАДИ'!N1236</f>
        <v>28243.3</v>
      </c>
    </row>
    <row r="1237" spans="1:6" ht="21" customHeight="1" x14ac:dyDescent="0.25">
      <c r="A1237" s="38">
        <v>19</v>
      </c>
      <c r="B1237" s="34" t="s">
        <v>985</v>
      </c>
      <c r="C1237" s="18" t="s">
        <v>426</v>
      </c>
      <c r="D1237" s="32" t="s">
        <v>2382</v>
      </c>
      <c r="E1237" s="5">
        <f>'ПДФО ГРОМАДИ'!M1237</f>
        <v>0</v>
      </c>
      <c r="F1237" s="5">
        <f>'ПДФО ГРОМАДИ'!N1237</f>
        <v>10500.8</v>
      </c>
    </row>
    <row r="1238" spans="1:6" ht="21" customHeight="1" x14ac:dyDescent="0.25">
      <c r="A1238" s="38">
        <v>19</v>
      </c>
      <c r="B1238" s="34" t="s">
        <v>985</v>
      </c>
      <c r="C1238" s="18" t="s">
        <v>427</v>
      </c>
      <c r="D1238" s="32" t="s">
        <v>2383</v>
      </c>
      <c r="E1238" s="5">
        <f>'ПДФО ГРОМАДИ'!M1238</f>
        <v>0</v>
      </c>
      <c r="F1238" s="5">
        <f>'ПДФО ГРОМАДИ'!N1238</f>
        <v>15396.3</v>
      </c>
    </row>
    <row r="1239" spans="1:6" s="24" customFormat="1" ht="21" customHeight="1" x14ac:dyDescent="0.25">
      <c r="A1239" s="38">
        <v>19</v>
      </c>
      <c r="B1239" s="34" t="s">
        <v>984</v>
      </c>
      <c r="C1239" s="18" t="s">
        <v>428</v>
      </c>
      <c r="D1239" s="32" t="s">
        <v>2384</v>
      </c>
      <c r="E1239" s="5">
        <f>'ПДФО ГРОМАДИ'!M1239</f>
        <v>0</v>
      </c>
      <c r="F1239" s="5">
        <f>'ПДФО ГРОМАДИ'!N1239</f>
        <v>4783.8</v>
      </c>
    </row>
    <row r="1240" spans="1:6" s="24" customFormat="1" ht="21" customHeight="1" x14ac:dyDescent="0.25">
      <c r="A1240" s="38">
        <v>19</v>
      </c>
      <c r="B1240" s="34" t="s">
        <v>984</v>
      </c>
      <c r="C1240" s="18" t="s">
        <v>429</v>
      </c>
      <c r="D1240" s="32" t="s">
        <v>2385</v>
      </c>
      <c r="E1240" s="5">
        <f>'ПДФО ГРОМАДИ'!M1240</f>
        <v>0</v>
      </c>
      <c r="F1240" s="5">
        <f>'ПДФО ГРОМАДИ'!N1240</f>
        <v>6931.3</v>
      </c>
    </row>
    <row r="1241" spans="1:6" s="24" customFormat="1" ht="21" customHeight="1" x14ac:dyDescent="0.25">
      <c r="A1241" s="38">
        <v>19</v>
      </c>
      <c r="B1241" s="34" t="s">
        <v>984</v>
      </c>
      <c r="C1241" s="18" t="s">
        <v>430</v>
      </c>
      <c r="D1241" s="32" t="s">
        <v>2386</v>
      </c>
      <c r="E1241" s="5">
        <f>'ПДФО ГРОМАДИ'!M1241</f>
        <v>0</v>
      </c>
      <c r="F1241" s="5">
        <f>'ПДФО ГРОМАДИ'!N1241</f>
        <v>7825</v>
      </c>
    </row>
    <row r="1242" spans="1:6" s="24" customFormat="1" ht="21" customHeight="1" x14ac:dyDescent="0.25">
      <c r="A1242" s="38">
        <v>19</v>
      </c>
      <c r="B1242" s="34" t="s">
        <v>984</v>
      </c>
      <c r="C1242" s="18" t="s">
        <v>431</v>
      </c>
      <c r="D1242" s="32" t="s">
        <v>2387</v>
      </c>
      <c r="E1242" s="5">
        <f>'ПДФО ГРОМАДИ'!M1242</f>
        <v>0</v>
      </c>
      <c r="F1242" s="5">
        <f>'ПДФО ГРОМАДИ'!N1242</f>
        <v>919.3</v>
      </c>
    </row>
    <row r="1243" spans="1:6" s="24" customFormat="1" ht="21" customHeight="1" x14ac:dyDescent="0.25">
      <c r="A1243" s="38">
        <v>19</v>
      </c>
      <c r="B1243" s="34" t="s">
        <v>984</v>
      </c>
      <c r="C1243" s="18" t="s">
        <v>621</v>
      </c>
      <c r="D1243" s="32" t="s">
        <v>2388</v>
      </c>
      <c r="E1243" s="5">
        <f>'ПДФО ГРОМАДИ'!M1243</f>
        <v>0</v>
      </c>
      <c r="F1243" s="5">
        <f>'ПДФО ГРОМАДИ'!N1243</f>
        <v>9899.7999999999993</v>
      </c>
    </row>
    <row r="1244" spans="1:6" s="24" customFormat="1" ht="21" customHeight="1" x14ac:dyDescent="0.25">
      <c r="A1244" s="38">
        <v>19</v>
      </c>
      <c r="B1244" s="34" t="s">
        <v>983</v>
      </c>
      <c r="C1244" s="18" t="s">
        <v>622</v>
      </c>
      <c r="D1244" s="32" t="s">
        <v>2389</v>
      </c>
      <c r="E1244" s="5">
        <f>'ПДФО ГРОМАДИ'!M1244</f>
        <v>0</v>
      </c>
      <c r="F1244" s="5">
        <f>'ПДФО ГРОМАДИ'!N1244</f>
        <v>18686.099999999999</v>
      </c>
    </row>
    <row r="1245" spans="1:6" s="24" customFormat="1" ht="21" customHeight="1" x14ac:dyDescent="0.25">
      <c r="A1245" s="38">
        <v>19</v>
      </c>
      <c r="B1245" s="34" t="s">
        <v>983</v>
      </c>
      <c r="C1245" s="18" t="s">
        <v>623</v>
      </c>
      <c r="D1245" s="32" t="s">
        <v>2390</v>
      </c>
      <c r="E1245" s="5">
        <f>'ПДФО ГРОМАДИ'!M1245</f>
        <v>0</v>
      </c>
      <c r="F1245" s="5">
        <f>'ПДФО ГРОМАДИ'!N1245</f>
        <v>10405.9</v>
      </c>
    </row>
    <row r="1246" spans="1:6" s="24" customFormat="1" ht="21" customHeight="1" x14ac:dyDescent="0.25">
      <c r="A1246" s="38">
        <v>19</v>
      </c>
      <c r="B1246" s="34" t="s">
        <v>983</v>
      </c>
      <c r="C1246" s="18" t="s">
        <v>624</v>
      </c>
      <c r="D1246" s="32" t="s">
        <v>2391</v>
      </c>
      <c r="E1246" s="5">
        <f>'ПДФО ГРОМАДИ'!M1246</f>
        <v>0</v>
      </c>
      <c r="F1246" s="5">
        <f>'ПДФО ГРОМАДИ'!N1246</f>
        <v>13877.4</v>
      </c>
    </row>
    <row r="1247" spans="1:6" s="24" customFormat="1" ht="21" customHeight="1" x14ac:dyDescent="0.25">
      <c r="A1247" s="38">
        <v>19</v>
      </c>
      <c r="B1247" s="34" t="s">
        <v>985</v>
      </c>
      <c r="C1247" s="18">
        <v>19542000000</v>
      </c>
      <c r="D1247" s="32" t="s">
        <v>2392</v>
      </c>
      <c r="E1247" s="5">
        <f>'ПДФО ГРОМАДИ'!M1247</f>
        <v>0</v>
      </c>
      <c r="F1247" s="5">
        <f>'ПДФО ГРОМАДИ'!N1247</f>
        <v>28922.9</v>
      </c>
    </row>
    <row r="1248" spans="1:6" s="24" customFormat="1" ht="21" customHeight="1" x14ac:dyDescent="0.25">
      <c r="A1248" s="38">
        <v>19</v>
      </c>
      <c r="B1248" s="34" t="s">
        <v>984</v>
      </c>
      <c r="C1248" s="18">
        <v>19543000000</v>
      </c>
      <c r="D1248" s="32" t="s">
        <v>2393</v>
      </c>
      <c r="E1248" s="5">
        <f>'ПДФО ГРОМАДИ'!M1248</f>
        <v>0</v>
      </c>
      <c r="F1248" s="5">
        <f>'ПДФО ГРОМАДИ'!N1248</f>
        <v>5853.6</v>
      </c>
    </row>
    <row r="1249" spans="1:6" s="24" customFormat="1" ht="21" customHeight="1" x14ac:dyDescent="0.25">
      <c r="A1249" s="38">
        <v>19</v>
      </c>
      <c r="B1249" s="34" t="s">
        <v>983</v>
      </c>
      <c r="C1249" s="18">
        <v>19544000000</v>
      </c>
      <c r="D1249" s="32" t="s">
        <v>2394</v>
      </c>
      <c r="E1249" s="5">
        <f>'ПДФО ГРОМАДИ'!M1249</f>
        <v>0</v>
      </c>
      <c r="F1249" s="5">
        <f>'ПДФО ГРОМАДИ'!N1249</f>
        <v>19031.599999999999</v>
      </c>
    </row>
    <row r="1250" spans="1:6" s="24" customFormat="1" ht="21" customHeight="1" x14ac:dyDescent="0.25">
      <c r="A1250" s="38">
        <v>19</v>
      </c>
      <c r="B1250" s="34" t="s">
        <v>984</v>
      </c>
      <c r="C1250" s="18">
        <v>19545000000</v>
      </c>
      <c r="D1250" s="32" t="s">
        <v>2395</v>
      </c>
      <c r="E1250" s="5">
        <f>'ПДФО ГРОМАДИ'!M1250</f>
        <v>0</v>
      </c>
      <c r="F1250" s="5">
        <f>'ПДФО ГРОМАДИ'!N1250</f>
        <v>4773.2</v>
      </c>
    </row>
    <row r="1251" spans="1:6" s="24" customFormat="1" ht="21" customHeight="1" x14ac:dyDescent="0.25">
      <c r="A1251" s="38">
        <v>19</v>
      </c>
      <c r="B1251" s="34" t="s">
        <v>983</v>
      </c>
      <c r="C1251" s="18">
        <v>19546000000</v>
      </c>
      <c r="D1251" s="32" t="s">
        <v>2396</v>
      </c>
      <c r="E1251" s="5">
        <f>'ПДФО ГРОМАДИ'!M1251</f>
        <v>0</v>
      </c>
      <c r="F1251" s="5">
        <f>'ПДФО ГРОМАДИ'!N1251</f>
        <v>24304.6</v>
      </c>
    </row>
    <row r="1252" spans="1:6" s="24" customFormat="1" ht="21" customHeight="1" x14ac:dyDescent="0.25">
      <c r="A1252" s="38">
        <v>19</v>
      </c>
      <c r="B1252" s="34" t="s">
        <v>986</v>
      </c>
      <c r="C1252" s="18">
        <v>19548000000</v>
      </c>
      <c r="D1252" s="32" t="s">
        <v>2397</v>
      </c>
      <c r="E1252" s="5">
        <f>'ПДФО ГРОМАДИ'!M1252</f>
        <v>0</v>
      </c>
      <c r="F1252" s="5">
        <f>'ПДФО ГРОМАДИ'!N1252</f>
        <v>25204.400000000001</v>
      </c>
    </row>
    <row r="1253" spans="1:6" s="24" customFormat="1" ht="21" customHeight="1" x14ac:dyDescent="0.25">
      <c r="A1253" s="38">
        <v>19</v>
      </c>
      <c r="B1253" s="34" t="s">
        <v>986</v>
      </c>
      <c r="C1253" s="18">
        <v>19549000000</v>
      </c>
      <c r="D1253" s="32" t="s">
        <v>2398</v>
      </c>
      <c r="E1253" s="5">
        <f>'ПДФО ГРОМАДИ'!M1253</f>
        <v>95086.9</v>
      </c>
      <c r="F1253" s="5">
        <f>'ПДФО ГРОМАДИ'!N1253</f>
        <v>0</v>
      </c>
    </row>
    <row r="1254" spans="1:6" ht="21" customHeight="1" x14ac:dyDescent="0.25">
      <c r="A1254" s="38">
        <v>19</v>
      </c>
      <c r="B1254" s="34" t="s">
        <v>985</v>
      </c>
      <c r="C1254" s="18">
        <v>19550000000</v>
      </c>
      <c r="D1254" s="67" t="s">
        <v>2399</v>
      </c>
      <c r="E1254" s="5">
        <f>'ПДФО ГРОМАДИ'!M1254</f>
        <v>0</v>
      </c>
      <c r="F1254" s="5">
        <f>'ПДФО ГРОМАДИ'!N1254</f>
        <v>0</v>
      </c>
    </row>
    <row r="1255" spans="1:6" ht="21" customHeight="1" x14ac:dyDescent="0.25">
      <c r="A1255" s="38">
        <v>19</v>
      </c>
      <c r="B1255" s="34" t="s">
        <v>984</v>
      </c>
      <c r="C1255" s="18">
        <v>19553000000</v>
      </c>
      <c r="D1255" s="32" t="s">
        <v>2400</v>
      </c>
      <c r="E1255" s="5">
        <f>'ПДФО ГРОМАДИ'!M1255</f>
        <v>0</v>
      </c>
      <c r="F1255" s="5">
        <f>'ПДФО ГРОМАДИ'!N1255</f>
        <v>10111.299999999999</v>
      </c>
    </row>
    <row r="1256" spans="1:6" ht="34.5" customHeight="1" x14ac:dyDescent="0.25">
      <c r="A1256" s="38">
        <v>19</v>
      </c>
      <c r="B1256" s="34" t="s">
        <v>986</v>
      </c>
      <c r="C1256" s="18">
        <v>19554000000</v>
      </c>
      <c r="D1256" s="32" t="s">
        <v>2401</v>
      </c>
      <c r="E1256" s="5">
        <f>'ПДФО ГРОМАДИ'!M1256</f>
        <v>0</v>
      </c>
      <c r="F1256" s="5">
        <f>'ПДФО ГРОМАДИ'!N1256</f>
        <v>2721.1</v>
      </c>
    </row>
    <row r="1257" spans="1:6" ht="21" customHeight="1" x14ac:dyDescent="0.25">
      <c r="A1257" s="38">
        <v>19</v>
      </c>
      <c r="B1257" s="34" t="s">
        <v>983</v>
      </c>
      <c r="C1257" s="18">
        <v>19555000000</v>
      </c>
      <c r="D1257" s="80" t="s">
        <v>2402</v>
      </c>
      <c r="E1257" s="5">
        <f>'ПДФО ГРОМАДИ'!M1257</f>
        <v>0</v>
      </c>
      <c r="F1257" s="5">
        <f>'ПДФО ГРОМАДИ'!N1257</f>
        <v>44852.1</v>
      </c>
    </row>
    <row r="1258" spans="1:6" ht="25.5" customHeight="1" x14ac:dyDescent="0.25">
      <c r="A1258" s="38">
        <v>19</v>
      </c>
      <c r="B1258" s="34" t="s">
        <v>985</v>
      </c>
      <c r="C1258" s="18">
        <v>19556000000</v>
      </c>
      <c r="D1258" s="80" t="s">
        <v>2403</v>
      </c>
      <c r="E1258" s="5">
        <f>'ПДФО ГРОМАДИ'!M1258</f>
        <v>0</v>
      </c>
      <c r="F1258" s="5">
        <f>'ПДФО ГРОМАДИ'!N1258</f>
        <v>10767.6</v>
      </c>
    </row>
    <row r="1259" spans="1:6" ht="28.5" customHeight="1" x14ac:dyDescent="0.25">
      <c r="A1259" s="38">
        <v>19</v>
      </c>
      <c r="B1259" s="34" t="s">
        <v>983</v>
      </c>
      <c r="C1259" s="18">
        <v>19557000000</v>
      </c>
      <c r="D1259" s="80" t="s">
        <v>2404</v>
      </c>
      <c r="E1259" s="5">
        <f>'ПДФО ГРОМАДИ'!M1259</f>
        <v>0</v>
      </c>
      <c r="F1259" s="5">
        <f>'ПДФО ГРОМАДИ'!N1259</f>
        <v>28335.7</v>
      </c>
    </row>
    <row r="1260" spans="1:6" ht="31.5" customHeight="1" x14ac:dyDescent="0.25">
      <c r="A1260" s="38">
        <v>19</v>
      </c>
      <c r="B1260" s="34" t="s">
        <v>983</v>
      </c>
      <c r="C1260" s="18">
        <v>19558000000</v>
      </c>
      <c r="D1260" s="80" t="s">
        <v>2405</v>
      </c>
      <c r="E1260" s="5">
        <f>'ПДФО ГРОМАДИ'!M1260</f>
        <v>0</v>
      </c>
      <c r="F1260" s="5">
        <f>'ПДФО ГРОМАДИ'!N1260</f>
        <v>37483.300000000003</v>
      </c>
    </row>
    <row r="1261" spans="1:6" ht="21" customHeight="1" x14ac:dyDescent="0.25">
      <c r="A1261" s="38">
        <v>19</v>
      </c>
      <c r="B1261" s="34" t="s">
        <v>984</v>
      </c>
      <c r="C1261" s="18">
        <v>19559000000</v>
      </c>
      <c r="D1261" s="80" t="s">
        <v>2406</v>
      </c>
      <c r="E1261" s="5">
        <f>'ПДФО ГРОМАДИ'!M1261</f>
        <v>0</v>
      </c>
      <c r="F1261" s="5">
        <f>'ПДФО ГРОМАДИ'!N1261</f>
        <v>8898.9</v>
      </c>
    </row>
    <row r="1262" spans="1:6" ht="28.5" customHeight="1" x14ac:dyDescent="0.25">
      <c r="A1262" s="38">
        <v>19</v>
      </c>
      <c r="B1262" s="34" t="s">
        <v>985</v>
      </c>
      <c r="C1262" s="18">
        <v>19560000000</v>
      </c>
      <c r="D1262" s="80" t="s">
        <v>2407</v>
      </c>
      <c r="E1262" s="5">
        <f>'ПДФО ГРОМАДИ'!M1262</f>
        <v>0</v>
      </c>
      <c r="F1262" s="5">
        <f>'ПДФО ГРОМАДИ'!N1262</f>
        <v>11994.7</v>
      </c>
    </row>
    <row r="1263" spans="1:6" ht="21" customHeight="1" x14ac:dyDescent="0.25">
      <c r="A1263" s="38">
        <v>19</v>
      </c>
      <c r="B1263" s="34" t="s">
        <v>986</v>
      </c>
      <c r="C1263" s="18">
        <v>19561000000</v>
      </c>
      <c r="D1263" s="80" t="s">
        <v>2408</v>
      </c>
      <c r="E1263" s="5">
        <f>'ПДФО ГРОМАДИ'!M1263</f>
        <v>0</v>
      </c>
      <c r="F1263" s="5">
        <f>'ПДФО ГРОМАДИ'!N1263</f>
        <v>39021.4</v>
      </c>
    </row>
    <row r="1264" spans="1:6" ht="21" customHeight="1" x14ac:dyDescent="0.25">
      <c r="A1264" s="38">
        <v>19</v>
      </c>
      <c r="B1264" s="34" t="s">
        <v>984</v>
      </c>
      <c r="C1264" s="18">
        <v>19562000000</v>
      </c>
      <c r="D1264" s="80" t="s">
        <v>2409</v>
      </c>
      <c r="E1264" s="5">
        <f>'ПДФО ГРОМАДИ'!M1264</f>
        <v>0</v>
      </c>
      <c r="F1264" s="5">
        <f>'ПДФО ГРОМАДИ'!N1264</f>
        <v>11178.4</v>
      </c>
    </row>
    <row r="1265" spans="1:6" ht="30.75" customHeight="1" x14ac:dyDescent="0.25">
      <c r="A1265" s="38">
        <v>19</v>
      </c>
      <c r="B1265" s="34" t="s">
        <v>983</v>
      </c>
      <c r="C1265" s="18">
        <v>19563000000</v>
      </c>
      <c r="D1265" s="80" t="s">
        <v>2410</v>
      </c>
      <c r="E1265" s="5">
        <f>'ПДФО ГРОМАДИ'!M1265</f>
        <v>0</v>
      </c>
      <c r="F1265" s="5">
        <f>'ПДФО ГРОМАДИ'!N1265</f>
        <v>2606.9</v>
      </c>
    </row>
    <row r="1266" spans="1:6" ht="21" customHeight="1" x14ac:dyDescent="0.25">
      <c r="A1266" s="38">
        <v>19</v>
      </c>
      <c r="B1266" s="34" t="s">
        <v>984</v>
      </c>
      <c r="C1266" s="18">
        <v>19564000000</v>
      </c>
      <c r="D1266" s="80" t="s">
        <v>2411</v>
      </c>
      <c r="E1266" s="5">
        <f>'ПДФО ГРОМАДИ'!M1266</f>
        <v>0</v>
      </c>
      <c r="F1266" s="5">
        <f>'ПДФО ГРОМАДИ'!N1266</f>
        <v>8695.6</v>
      </c>
    </row>
    <row r="1267" spans="1:6" ht="31.5" customHeight="1" x14ac:dyDescent="0.25">
      <c r="A1267" s="36">
        <v>20</v>
      </c>
      <c r="B1267" s="17" t="s">
        <v>7</v>
      </c>
      <c r="C1267" s="17" t="s">
        <v>811</v>
      </c>
      <c r="D1267" s="11" t="s">
        <v>22</v>
      </c>
      <c r="E1267" s="11">
        <f>E1268+E1269+E1277</f>
        <v>450496.10000000003</v>
      </c>
      <c r="F1267" s="11">
        <f>F1268+F1269+F1277</f>
        <v>526353.5</v>
      </c>
    </row>
    <row r="1268" spans="1:6" ht="21" customHeight="1" x14ac:dyDescent="0.25">
      <c r="A1268" s="38">
        <v>20</v>
      </c>
      <c r="B1268" s="34" t="s">
        <v>6</v>
      </c>
      <c r="C1268" s="18" t="s">
        <v>177</v>
      </c>
      <c r="D1268" s="32" t="s">
        <v>858</v>
      </c>
      <c r="E1268" s="5">
        <f>'ПДФО ОБЛАСНІ'!K22+'ПОДАТОК НА ПРИБУТОК'!K22</f>
        <v>0</v>
      </c>
      <c r="F1268" s="5">
        <f>'ПДФО ОБЛАСНІ'!L22+'ПОДАТОК НА ПРИБУТОК'!L22</f>
        <v>15843.7</v>
      </c>
    </row>
    <row r="1269" spans="1:6" ht="21" customHeight="1" x14ac:dyDescent="0.25">
      <c r="A1269" s="37">
        <v>20</v>
      </c>
      <c r="B1269" s="19" t="s">
        <v>5</v>
      </c>
      <c r="C1269" s="19" t="s">
        <v>812</v>
      </c>
      <c r="D1269" s="7" t="s">
        <v>2813</v>
      </c>
      <c r="E1269" s="7">
        <f>SUM(E1270:E1276)</f>
        <v>0</v>
      </c>
      <c r="F1269" s="7">
        <f>SUM(F1270:F1276)</f>
        <v>0</v>
      </c>
    </row>
    <row r="1270" spans="1:6" ht="21" customHeight="1" x14ac:dyDescent="0.25">
      <c r="A1270" s="38">
        <v>20</v>
      </c>
      <c r="B1270" s="34" t="s">
        <v>4</v>
      </c>
      <c r="C1270" s="18" t="s">
        <v>2756</v>
      </c>
      <c r="D1270" s="32" t="s">
        <v>2757</v>
      </c>
      <c r="E1270" s="5">
        <f>'ПДФО ГРОМАДИ'!M1270</f>
        <v>0</v>
      </c>
      <c r="F1270" s="5">
        <f>'ПДФО ГРОМАДИ'!N1270</f>
        <v>0</v>
      </c>
    </row>
    <row r="1271" spans="1:6" ht="21" customHeight="1" x14ac:dyDescent="0.25">
      <c r="A1271" s="38">
        <v>20</v>
      </c>
      <c r="B1271" s="34" t="s">
        <v>4</v>
      </c>
      <c r="C1271" s="18" t="s">
        <v>178</v>
      </c>
      <c r="D1271" s="32" t="s">
        <v>952</v>
      </c>
      <c r="E1271" s="5">
        <f>'ПДФО ГРОМАДИ'!M1271</f>
        <v>0</v>
      </c>
      <c r="F1271" s="5">
        <f>'ПДФО ГРОМАДИ'!N1271</f>
        <v>0</v>
      </c>
    </row>
    <row r="1272" spans="1:6" ht="15.75" x14ac:dyDescent="0.25">
      <c r="A1272" s="38">
        <v>20</v>
      </c>
      <c r="B1272" s="34" t="s">
        <v>4</v>
      </c>
      <c r="C1272" s="18" t="s">
        <v>179</v>
      </c>
      <c r="D1272" s="32" t="s">
        <v>953</v>
      </c>
      <c r="E1272" s="5">
        <f>'ПДФО ГРОМАДИ'!M1272</f>
        <v>0</v>
      </c>
      <c r="F1272" s="5">
        <f>'ПДФО ГРОМАДИ'!N1272</f>
        <v>0</v>
      </c>
    </row>
    <row r="1273" spans="1:6" ht="15.75" x14ac:dyDescent="0.25">
      <c r="A1273" s="38">
        <v>20</v>
      </c>
      <c r="B1273" s="34" t="s">
        <v>4</v>
      </c>
      <c r="C1273" s="18" t="s">
        <v>180</v>
      </c>
      <c r="D1273" s="32" t="s">
        <v>954</v>
      </c>
      <c r="E1273" s="5">
        <f>'ПДФО ГРОМАДИ'!M1273</f>
        <v>0</v>
      </c>
      <c r="F1273" s="5">
        <f>'ПДФО ГРОМАДИ'!N1273</f>
        <v>0</v>
      </c>
    </row>
    <row r="1274" spans="1:6" ht="15.75" x14ac:dyDescent="0.25">
      <c r="A1274" s="38">
        <v>20</v>
      </c>
      <c r="B1274" s="34" t="s">
        <v>4</v>
      </c>
      <c r="C1274" s="18" t="s">
        <v>181</v>
      </c>
      <c r="D1274" s="32" t="s">
        <v>955</v>
      </c>
      <c r="E1274" s="5">
        <f>'ПДФО ГРОМАДИ'!M1274</f>
        <v>0</v>
      </c>
      <c r="F1274" s="5">
        <f>'ПДФО ГРОМАДИ'!N1274</f>
        <v>0</v>
      </c>
    </row>
    <row r="1275" spans="1:6" ht="15.75" x14ac:dyDescent="0.25">
      <c r="A1275" s="38">
        <v>20</v>
      </c>
      <c r="B1275" s="34" t="s">
        <v>4</v>
      </c>
      <c r="C1275" s="18" t="s">
        <v>182</v>
      </c>
      <c r="D1275" s="32" t="s">
        <v>956</v>
      </c>
      <c r="E1275" s="5">
        <f>'ПДФО ГРОМАДИ'!M1275</f>
        <v>0</v>
      </c>
      <c r="F1275" s="5">
        <f>'ПДФО ГРОМАДИ'!N1275</f>
        <v>0</v>
      </c>
    </row>
    <row r="1276" spans="1:6" s="24" customFormat="1" ht="15.75" x14ac:dyDescent="0.25">
      <c r="A1276" s="38">
        <v>20</v>
      </c>
      <c r="B1276" s="34" t="s">
        <v>4</v>
      </c>
      <c r="C1276" s="18" t="s">
        <v>183</v>
      </c>
      <c r="D1276" s="32" t="s">
        <v>957</v>
      </c>
      <c r="E1276" s="5">
        <f>'ПДФО ГРОМАДИ'!M1276</f>
        <v>0</v>
      </c>
      <c r="F1276" s="5">
        <f>'ПДФО ГРОМАДИ'!N1276</f>
        <v>0</v>
      </c>
    </row>
    <row r="1277" spans="1:6" s="24" customFormat="1" ht="15.75" x14ac:dyDescent="0.25">
      <c r="A1277" s="37">
        <v>20</v>
      </c>
      <c r="B1277" s="19" t="s">
        <v>28</v>
      </c>
      <c r="C1277" s="19" t="s">
        <v>813</v>
      </c>
      <c r="D1277" s="20" t="s">
        <v>2786</v>
      </c>
      <c r="E1277" s="7">
        <f>SUM(E1278:E1333)</f>
        <v>450496.10000000003</v>
      </c>
      <c r="F1277" s="7">
        <f>SUM(F1278:F1333)</f>
        <v>510509.8</v>
      </c>
    </row>
    <row r="1278" spans="1:6" s="24" customFormat="1" ht="15.75" x14ac:dyDescent="0.25">
      <c r="A1278" s="38">
        <v>20</v>
      </c>
      <c r="B1278" s="34" t="s">
        <v>985</v>
      </c>
      <c r="C1278" s="18" t="s">
        <v>291</v>
      </c>
      <c r="D1278" s="32" t="s">
        <v>2412</v>
      </c>
      <c r="E1278" s="5">
        <f>'ПДФО ГРОМАДИ'!M1278</f>
        <v>0</v>
      </c>
      <c r="F1278" s="5">
        <f>'ПДФО ГРОМАДИ'!N1278</f>
        <v>2656.9</v>
      </c>
    </row>
    <row r="1279" spans="1:6" s="24" customFormat="1" ht="15.75" x14ac:dyDescent="0.25">
      <c r="A1279" s="38">
        <v>20</v>
      </c>
      <c r="B1279" s="34" t="s">
        <v>983</v>
      </c>
      <c r="C1279" s="18" t="s">
        <v>303</v>
      </c>
      <c r="D1279" s="32" t="s">
        <v>2413</v>
      </c>
      <c r="E1279" s="5">
        <f>'ПДФО ГРОМАДИ'!M1279</f>
        <v>0</v>
      </c>
      <c r="F1279" s="5">
        <f>'ПДФО ГРОМАДИ'!N1279</f>
        <v>20834.400000000001</v>
      </c>
    </row>
    <row r="1280" spans="1:6" ht="15.75" x14ac:dyDescent="0.25">
      <c r="A1280" s="38">
        <v>20</v>
      </c>
      <c r="B1280" s="34" t="s">
        <v>985</v>
      </c>
      <c r="C1280" s="18" t="s">
        <v>304</v>
      </c>
      <c r="D1280" s="32" t="s">
        <v>2414</v>
      </c>
      <c r="E1280" s="5">
        <f>'ПДФО ГРОМАДИ'!M1280</f>
        <v>0</v>
      </c>
      <c r="F1280" s="5">
        <f>'ПДФО ГРОМАДИ'!N1280</f>
        <v>10604.5</v>
      </c>
    </row>
    <row r="1281" spans="1:6" ht="15.75" x14ac:dyDescent="0.25">
      <c r="A1281" s="38">
        <v>20</v>
      </c>
      <c r="B1281" s="34" t="s">
        <v>985</v>
      </c>
      <c r="C1281" s="18" t="s">
        <v>432</v>
      </c>
      <c r="D1281" s="32" t="s">
        <v>2415</v>
      </c>
      <c r="E1281" s="5">
        <f>'ПДФО ГРОМАДИ'!M1281</f>
        <v>6507.9</v>
      </c>
      <c r="F1281" s="5">
        <f>'ПДФО ГРОМАДИ'!N1281</f>
        <v>0</v>
      </c>
    </row>
    <row r="1282" spans="1:6" ht="15.75" x14ac:dyDescent="0.25">
      <c r="A1282" s="38">
        <v>20</v>
      </c>
      <c r="B1282" s="34" t="s">
        <v>985</v>
      </c>
      <c r="C1282" s="18" t="s">
        <v>498</v>
      </c>
      <c r="D1282" s="32" t="s">
        <v>2416</v>
      </c>
      <c r="E1282" s="5">
        <f>'ПДФО ГРОМАДИ'!M1282</f>
        <v>0</v>
      </c>
      <c r="F1282" s="5">
        <f>'ПДФО ГРОМАДИ'!N1282</f>
        <v>0</v>
      </c>
    </row>
    <row r="1283" spans="1:6" ht="15.75" x14ac:dyDescent="0.25">
      <c r="A1283" s="38">
        <v>20</v>
      </c>
      <c r="B1283" s="34" t="s">
        <v>985</v>
      </c>
      <c r="C1283" s="18" t="s">
        <v>625</v>
      </c>
      <c r="D1283" s="32" t="s">
        <v>2417</v>
      </c>
      <c r="E1283" s="5">
        <f>'ПДФО ГРОМАДИ'!M1283</f>
        <v>0</v>
      </c>
      <c r="F1283" s="5">
        <f>'ПДФО ГРОМАДИ'!N1283</f>
        <v>13542.9</v>
      </c>
    </row>
    <row r="1284" spans="1:6" ht="15.75" x14ac:dyDescent="0.25">
      <c r="A1284" s="38">
        <v>20</v>
      </c>
      <c r="B1284" s="34" t="s">
        <v>985</v>
      </c>
      <c r="C1284" s="18" t="s">
        <v>626</v>
      </c>
      <c r="D1284" s="32" t="s">
        <v>2418</v>
      </c>
      <c r="E1284" s="5">
        <f>'ПДФО ГРОМАДИ'!M1284</f>
        <v>0</v>
      </c>
      <c r="F1284" s="5">
        <f>'ПДФО ГРОМАДИ'!N1284</f>
        <v>6358.2</v>
      </c>
    </row>
    <row r="1285" spans="1:6" ht="15.75" x14ac:dyDescent="0.25">
      <c r="A1285" s="38">
        <v>20</v>
      </c>
      <c r="B1285" s="34" t="s">
        <v>985</v>
      </c>
      <c r="C1285" s="18" t="s">
        <v>627</v>
      </c>
      <c r="D1285" s="32" t="s">
        <v>2419</v>
      </c>
      <c r="E1285" s="5">
        <f>'ПДФО ГРОМАДИ'!M1285</f>
        <v>0</v>
      </c>
      <c r="F1285" s="5">
        <f>'ПДФО ГРОМАДИ'!N1285</f>
        <v>5547.1</v>
      </c>
    </row>
    <row r="1286" spans="1:6" ht="15.75" x14ac:dyDescent="0.25">
      <c r="A1286" s="38">
        <v>20</v>
      </c>
      <c r="B1286" s="34" t="s">
        <v>984</v>
      </c>
      <c r="C1286" s="18" t="s">
        <v>628</v>
      </c>
      <c r="D1286" s="32" t="s">
        <v>2420</v>
      </c>
      <c r="E1286" s="5">
        <f>'ПДФО ГРОМАДИ'!M1286</f>
        <v>0</v>
      </c>
      <c r="F1286" s="5">
        <f>'ПДФО ГРОМАДИ'!N1286</f>
        <v>10232.6</v>
      </c>
    </row>
    <row r="1287" spans="1:6" ht="15.75" x14ac:dyDescent="0.25">
      <c r="A1287" s="38">
        <v>20</v>
      </c>
      <c r="B1287" s="34" t="s">
        <v>985</v>
      </c>
      <c r="C1287" s="18" t="s">
        <v>629</v>
      </c>
      <c r="D1287" s="32" t="s">
        <v>2421</v>
      </c>
      <c r="E1287" s="5">
        <f>'ПДФО ГРОМАДИ'!M1287</f>
        <v>0</v>
      </c>
      <c r="F1287" s="5">
        <f>'ПДФО ГРОМАДИ'!N1287</f>
        <v>0</v>
      </c>
    </row>
    <row r="1288" spans="1:6" ht="15.75" x14ac:dyDescent="0.25">
      <c r="A1288" s="38">
        <v>20</v>
      </c>
      <c r="B1288" s="34" t="s">
        <v>984</v>
      </c>
      <c r="C1288" s="18" t="s">
        <v>630</v>
      </c>
      <c r="D1288" s="32" t="s">
        <v>2422</v>
      </c>
      <c r="E1288" s="5">
        <f>'ПДФО ГРОМАДИ'!M1288</f>
        <v>32172.1</v>
      </c>
      <c r="F1288" s="5">
        <f>'ПДФО ГРОМАДИ'!N1288</f>
        <v>0</v>
      </c>
    </row>
    <row r="1289" spans="1:6" ht="15.75" x14ac:dyDescent="0.25">
      <c r="A1289" s="38">
        <v>20</v>
      </c>
      <c r="B1289" s="34" t="s">
        <v>985</v>
      </c>
      <c r="C1289" s="18" t="s">
        <v>631</v>
      </c>
      <c r="D1289" s="32" t="s">
        <v>2423</v>
      </c>
      <c r="E1289" s="5">
        <f>'ПДФО ГРОМАДИ'!M1289</f>
        <v>3751.6</v>
      </c>
      <c r="F1289" s="5">
        <f>'ПДФО ГРОМАДИ'!N1289</f>
        <v>0</v>
      </c>
    </row>
    <row r="1290" spans="1:6" ht="15.75" x14ac:dyDescent="0.25">
      <c r="A1290" s="38">
        <v>20</v>
      </c>
      <c r="B1290" s="34" t="s">
        <v>985</v>
      </c>
      <c r="C1290" s="18">
        <v>20513000000</v>
      </c>
      <c r="D1290" s="32" t="s">
        <v>2424</v>
      </c>
      <c r="E1290" s="5">
        <f>'ПДФО ГРОМАДИ'!M1290</f>
        <v>3106.7</v>
      </c>
      <c r="F1290" s="5">
        <f>'ПДФО ГРОМАДИ'!N1290</f>
        <v>0</v>
      </c>
    </row>
    <row r="1291" spans="1:6" ht="15.75" x14ac:dyDescent="0.25">
      <c r="A1291" s="38">
        <v>20</v>
      </c>
      <c r="B1291" s="34" t="s">
        <v>985</v>
      </c>
      <c r="C1291" s="18">
        <v>20514000000</v>
      </c>
      <c r="D1291" s="32" t="s">
        <v>2425</v>
      </c>
      <c r="E1291" s="5">
        <f>'ПДФО ГРОМАДИ'!M1291</f>
        <v>0</v>
      </c>
      <c r="F1291" s="5">
        <f>'ПДФО ГРОМАДИ'!N1291</f>
        <v>36274.300000000003</v>
      </c>
    </row>
    <row r="1292" spans="1:6" ht="15.75" x14ac:dyDescent="0.25">
      <c r="A1292" s="38">
        <v>20</v>
      </c>
      <c r="B1292" s="34" t="s">
        <v>984</v>
      </c>
      <c r="C1292" s="18">
        <v>20515000000</v>
      </c>
      <c r="D1292" s="32" t="s">
        <v>2426</v>
      </c>
      <c r="E1292" s="5">
        <f>'ПДФО ГРОМАДИ'!M1292</f>
        <v>0</v>
      </c>
      <c r="F1292" s="5">
        <f>'ПДФО ГРОМАДИ'!N1292</f>
        <v>4676.5</v>
      </c>
    </row>
    <row r="1293" spans="1:6" ht="15.75" x14ac:dyDescent="0.25">
      <c r="A1293" s="38">
        <v>20</v>
      </c>
      <c r="B1293" s="34" t="s">
        <v>984</v>
      </c>
      <c r="C1293" s="18">
        <v>20516000000</v>
      </c>
      <c r="D1293" s="32" t="s">
        <v>2427</v>
      </c>
      <c r="E1293" s="5">
        <f>'ПДФО ГРОМАДИ'!M1293</f>
        <v>0</v>
      </c>
      <c r="F1293" s="5">
        <f>'ПДФО ГРОМАДИ'!N1293</f>
        <v>10835.8</v>
      </c>
    </row>
    <row r="1294" spans="1:6" ht="15.75" x14ac:dyDescent="0.25">
      <c r="A1294" s="38">
        <v>20</v>
      </c>
      <c r="B1294" s="34" t="s">
        <v>986</v>
      </c>
      <c r="C1294" s="18">
        <v>20517000000</v>
      </c>
      <c r="D1294" s="32" t="s">
        <v>2428</v>
      </c>
      <c r="E1294" s="5">
        <f>'ПДФО ГРОМАДИ'!M1294</f>
        <v>0</v>
      </c>
      <c r="F1294" s="5">
        <f>'ПДФО ГРОМАДИ'!N1294</f>
        <v>30517.5</v>
      </c>
    </row>
    <row r="1295" spans="1:6" ht="15.75" x14ac:dyDescent="0.25">
      <c r="A1295" s="38">
        <v>20</v>
      </c>
      <c r="B1295" s="34" t="s">
        <v>986</v>
      </c>
      <c r="C1295" s="18">
        <v>20518000000</v>
      </c>
      <c r="D1295" s="32" t="s">
        <v>2429</v>
      </c>
      <c r="E1295" s="5">
        <f>'ПДФО ГРОМАДИ'!M1295</f>
        <v>0</v>
      </c>
      <c r="F1295" s="5">
        <f>'ПДФО ГРОМАДИ'!N1295</f>
        <v>50828.1</v>
      </c>
    </row>
    <row r="1296" spans="1:6" ht="15.75" x14ac:dyDescent="0.25">
      <c r="A1296" s="38">
        <v>20</v>
      </c>
      <c r="B1296" s="34" t="s">
        <v>984</v>
      </c>
      <c r="C1296" s="18">
        <v>20519000000</v>
      </c>
      <c r="D1296" s="32" t="s">
        <v>2430</v>
      </c>
      <c r="E1296" s="5">
        <f>'ПДФО ГРОМАДИ'!M1296</f>
        <v>0</v>
      </c>
      <c r="F1296" s="5">
        <f>'ПДФО ГРОМАДИ'!N1296</f>
        <v>2563.1999999999998</v>
      </c>
    </row>
    <row r="1297" spans="1:6" ht="15.75" x14ac:dyDescent="0.25">
      <c r="A1297" s="38">
        <v>20</v>
      </c>
      <c r="B1297" s="34" t="s">
        <v>985</v>
      </c>
      <c r="C1297" s="18">
        <v>20520000000</v>
      </c>
      <c r="D1297" s="32" t="s">
        <v>2431</v>
      </c>
      <c r="E1297" s="5">
        <f>'ПДФО ГРОМАДИ'!M1297</f>
        <v>36279.1</v>
      </c>
      <c r="F1297" s="5">
        <f>'ПДФО ГРОМАДИ'!N1297</f>
        <v>0</v>
      </c>
    </row>
    <row r="1298" spans="1:6" ht="15.75" x14ac:dyDescent="0.25">
      <c r="A1298" s="38">
        <v>20</v>
      </c>
      <c r="B1298" s="34" t="s">
        <v>984</v>
      </c>
      <c r="C1298" s="18">
        <v>20521000000</v>
      </c>
      <c r="D1298" s="32" t="s">
        <v>2432</v>
      </c>
      <c r="E1298" s="5">
        <f>'ПДФО ГРОМАДИ'!M1298</f>
        <v>0</v>
      </c>
      <c r="F1298" s="5">
        <f>'ПДФО ГРОМАДИ'!N1298</f>
        <v>5005.8999999999996</v>
      </c>
    </row>
    <row r="1299" spans="1:6" ht="15.75" x14ac:dyDescent="0.25">
      <c r="A1299" s="38">
        <v>20</v>
      </c>
      <c r="B1299" s="34" t="s">
        <v>984</v>
      </c>
      <c r="C1299" s="18">
        <v>20522000000</v>
      </c>
      <c r="D1299" s="32" t="s">
        <v>2433</v>
      </c>
      <c r="E1299" s="5">
        <f>'ПДФО ГРОМАДИ'!M1299</f>
        <v>0</v>
      </c>
      <c r="F1299" s="5">
        <f>'ПДФО ГРОМАДИ'!N1299</f>
        <v>9522.2999999999993</v>
      </c>
    </row>
    <row r="1300" spans="1:6" ht="15.75" x14ac:dyDescent="0.25">
      <c r="A1300" s="38">
        <v>20</v>
      </c>
      <c r="B1300" s="34" t="s">
        <v>984</v>
      </c>
      <c r="C1300" s="18">
        <v>20523000000</v>
      </c>
      <c r="D1300" s="32" t="s">
        <v>2434</v>
      </c>
      <c r="E1300" s="5">
        <f>'ПДФО ГРОМАДИ'!M1300</f>
        <v>0</v>
      </c>
      <c r="F1300" s="5">
        <f>'ПДФО ГРОМАДИ'!N1300</f>
        <v>4814.2</v>
      </c>
    </row>
    <row r="1301" spans="1:6" ht="15.75" x14ac:dyDescent="0.25">
      <c r="A1301" s="38">
        <v>20</v>
      </c>
      <c r="B1301" s="34" t="s">
        <v>983</v>
      </c>
      <c r="C1301" s="18">
        <v>20524000000</v>
      </c>
      <c r="D1301" s="32" t="s">
        <v>2435</v>
      </c>
      <c r="E1301" s="5">
        <f>'ПДФО ГРОМАДИ'!M1301</f>
        <v>0</v>
      </c>
      <c r="F1301" s="5">
        <f>'ПДФО ГРОМАДИ'!N1301</f>
        <v>12816.9</v>
      </c>
    </row>
    <row r="1302" spans="1:6" ht="15.75" x14ac:dyDescent="0.25">
      <c r="A1302" s="38">
        <v>20</v>
      </c>
      <c r="B1302" s="34" t="s">
        <v>983</v>
      </c>
      <c r="C1302" s="18">
        <v>20525000000</v>
      </c>
      <c r="D1302" s="32" t="s">
        <v>2436</v>
      </c>
      <c r="E1302" s="5">
        <f>'ПДФО ГРОМАДИ'!M1302</f>
        <v>0</v>
      </c>
      <c r="F1302" s="5">
        <f>'ПДФО ГРОМАДИ'!N1302</f>
        <v>13618.7</v>
      </c>
    </row>
    <row r="1303" spans="1:6" ht="15.75" x14ac:dyDescent="0.25">
      <c r="A1303" s="38">
        <v>20</v>
      </c>
      <c r="B1303" s="34" t="s">
        <v>985</v>
      </c>
      <c r="C1303" s="18">
        <v>20526000000</v>
      </c>
      <c r="D1303" s="32" t="s">
        <v>2437</v>
      </c>
      <c r="E1303" s="5">
        <f>'ПДФО ГРОМАДИ'!M1303</f>
        <v>0</v>
      </c>
      <c r="F1303" s="5">
        <f>'ПДФО ГРОМАДИ'!N1303</f>
        <v>2930.7</v>
      </c>
    </row>
    <row r="1304" spans="1:6" ht="15.75" x14ac:dyDescent="0.25">
      <c r="A1304" s="38">
        <v>20</v>
      </c>
      <c r="B1304" s="34" t="s">
        <v>984</v>
      </c>
      <c r="C1304" s="18">
        <v>20527000000</v>
      </c>
      <c r="D1304" s="32" t="s">
        <v>2438</v>
      </c>
      <c r="E1304" s="5">
        <f>'ПДФО ГРОМАДИ'!M1304</f>
        <v>0</v>
      </c>
      <c r="F1304" s="5">
        <f>'ПДФО ГРОМАДИ'!N1304</f>
        <v>0</v>
      </c>
    </row>
    <row r="1305" spans="1:6" ht="15.75" x14ac:dyDescent="0.25">
      <c r="A1305" s="38">
        <v>20</v>
      </c>
      <c r="B1305" s="34" t="s">
        <v>985</v>
      </c>
      <c r="C1305" s="18">
        <v>20528000000</v>
      </c>
      <c r="D1305" s="32" t="s">
        <v>2439</v>
      </c>
      <c r="E1305" s="5">
        <f>'ПДФО ГРОМАДИ'!M1305</f>
        <v>0</v>
      </c>
      <c r="F1305" s="5">
        <f>'ПДФО ГРОМАДИ'!N1305</f>
        <v>7571.8</v>
      </c>
    </row>
    <row r="1306" spans="1:6" ht="15.75" x14ac:dyDescent="0.25">
      <c r="A1306" s="38">
        <v>20</v>
      </c>
      <c r="B1306" s="34" t="s">
        <v>983</v>
      </c>
      <c r="C1306" s="18">
        <v>20529000000</v>
      </c>
      <c r="D1306" s="32" t="s">
        <v>2440</v>
      </c>
      <c r="E1306" s="5">
        <f>'ПДФО ГРОМАДИ'!M1306</f>
        <v>0</v>
      </c>
      <c r="F1306" s="5">
        <f>'ПДФО ГРОМАДИ'!N1306</f>
        <v>0</v>
      </c>
    </row>
    <row r="1307" spans="1:6" ht="15.75" x14ac:dyDescent="0.25">
      <c r="A1307" s="38">
        <v>20</v>
      </c>
      <c r="B1307" s="34" t="s">
        <v>985</v>
      </c>
      <c r="C1307" s="18">
        <v>20530000000</v>
      </c>
      <c r="D1307" s="32" t="s">
        <v>2441</v>
      </c>
      <c r="E1307" s="5">
        <f>'ПДФО ГРОМАДИ'!M1307</f>
        <v>0</v>
      </c>
      <c r="F1307" s="5">
        <f>'ПДФО ГРОМАДИ'!N1307</f>
        <v>7272.1</v>
      </c>
    </row>
    <row r="1308" spans="1:6" ht="15.75" x14ac:dyDescent="0.25">
      <c r="A1308" s="38">
        <v>20</v>
      </c>
      <c r="B1308" s="34" t="s">
        <v>983</v>
      </c>
      <c r="C1308" s="18">
        <v>20531000000</v>
      </c>
      <c r="D1308" s="32" t="s">
        <v>2442</v>
      </c>
      <c r="E1308" s="5">
        <f>'ПДФО ГРОМАДИ'!M1308</f>
        <v>0</v>
      </c>
      <c r="F1308" s="5">
        <f>'ПДФО ГРОМАДИ'!N1308</f>
        <v>9586.2999999999993</v>
      </c>
    </row>
    <row r="1309" spans="1:6" ht="15.75" x14ac:dyDescent="0.25">
      <c r="A1309" s="38">
        <v>20</v>
      </c>
      <c r="B1309" s="34" t="s">
        <v>985</v>
      </c>
      <c r="C1309" s="18">
        <v>20532000000</v>
      </c>
      <c r="D1309" s="32" t="s">
        <v>2443</v>
      </c>
      <c r="E1309" s="5">
        <f>'ПДФО ГРОМАДИ'!M1309</f>
        <v>0</v>
      </c>
      <c r="F1309" s="5">
        <f>'ПДФО ГРОМАДИ'!N1309</f>
        <v>28064.1</v>
      </c>
    </row>
    <row r="1310" spans="1:6" ht="15.75" x14ac:dyDescent="0.25">
      <c r="A1310" s="38">
        <v>20</v>
      </c>
      <c r="B1310" s="34" t="s">
        <v>984</v>
      </c>
      <c r="C1310" s="18">
        <v>20533000000</v>
      </c>
      <c r="D1310" s="32" t="s">
        <v>2444</v>
      </c>
      <c r="E1310" s="5">
        <f>'ПДФО ГРОМАДИ'!M1310</f>
        <v>3103.8</v>
      </c>
      <c r="F1310" s="5">
        <f>'ПДФО ГРОМАДИ'!N1310</f>
        <v>0</v>
      </c>
    </row>
    <row r="1311" spans="1:6" ht="15.75" x14ac:dyDescent="0.25">
      <c r="A1311" s="38">
        <v>20</v>
      </c>
      <c r="B1311" s="34" t="s">
        <v>984</v>
      </c>
      <c r="C1311" s="18">
        <v>20534000000</v>
      </c>
      <c r="D1311" s="32" t="s">
        <v>2445</v>
      </c>
      <c r="E1311" s="5">
        <f>'ПДФО ГРОМАДИ'!M1311</f>
        <v>0</v>
      </c>
      <c r="F1311" s="5">
        <f>'ПДФО ГРОМАДИ'!N1311</f>
        <v>0</v>
      </c>
    </row>
    <row r="1312" spans="1:6" ht="15.75" x14ac:dyDescent="0.25">
      <c r="A1312" s="38">
        <v>20</v>
      </c>
      <c r="B1312" s="34" t="s">
        <v>983</v>
      </c>
      <c r="C1312" s="18">
        <v>20535000000</v>
      </c>
      <c r="D1312" s="32" t="s">
        <v>2446</v>
      </c>
      <c r="E1312" s="5">
        <f>'ПДФО ГРОМАДИ'!M1312</f>
        <v>0</v>
      </c>
      <c r="F1312" s="5">
        <f>'ПДФО ГРОМАДИ'!N1312</f>
        <v>3077.9</v>
      </c>
    </row>
    <row r="1313" spans="1:6" ht="15.75" x14ac:dyDescent="0.25">
      <c r="A1313" s="38">
        <v>20</v>
      </c>
      <c r="B1313" s="34" t="s">
        <v>985</v>
      </c>
      <c r="C1313" s="18">
        <v>20536000000</v>
      </c>
      <c r="D1313" s="32" t="s">
        <v>2447</v>
      </c>
      <c r="E1313" s="5">
        <f>'ПДФО ГРОМАДИ'!M1313</f>
        <v>0</v>
      </c>
      <c r="F1313" s="5">
        <f>'ПДФО ГРОМАДИ'!N1313</f>
        <v>0</v>
      </c>
    </row>
    <row r="1314" spans="1:6" ht="15.75" x14ac:dyDescent="0.25">
      <c r="A1314" s="38">
        <v>20</v>
      </c>
      <c r="B1314" s="34" t="s">
        <v>983</v>
      </c>
      <c r="C1314" s="18">
        <v>20537000000</v>
      </c>
      <c r="D1314" s="32" t="s">
        <v>2448</v>
      </c>
      <c r="E1314" s="5">
        <f>'ПДФО ГРОМАДИ'!M1314</f>
        <v>0</v>
      </c>
      <c r="F1314" s="5">
        <f>'ПДФО ГРОМАДИ'!N1314</f>
        <v>0</v>
      </c>
    </row>
    <row r="1315" spans="1:6" ht="15.75" x14ac:dyDescent="0.25">
      <c r="A1315" s="38">
        <v>20</v>
      </c>
      <c r="B1315" s="34" t="s">
        <v>983</v>
      </c>
      <c r="C1315" s="18">
        <v>20538000000</v>
      </c>
      <c r="D1315" s="32" t="s">
        <v>2449</v>
      </c>
      <c r="E1315" s="5">
        <f>'ПДФО ГРОМАДИ'!M1315</f>
        <v>0</v>
      </c>
      <c r="F1315" s="5">
        <f>'ПДФО ГРОМАДИ'!N1315</f>
        <v>37091.300000000003</v>
      </c>
    </row>
    <row r="1316" spans="1:6" ht="15.75" x14ac:dyDescent="0.25">
      <c r="A1316" s="38">
        <v>20</v>
      </c>
      <c r="B1316" s="34" t="s">
        <v>985</v>
      </c>
      <c r="C1316" s="18">
        <v>20539000000</v>
      </c>
      <c r="D1316" s="32" t="s">
        <v>2450</v>
      </c>
      <c r="E1316" s="5">
        <f>'ПДФО ГРОМАДИ'!M1316</f>
        <v>0</v>
      </c>
      <c r="F1316" s="5">
        <f>'ПДФО ГРОМАДИ'!N1316</f>
        <v>5887.1</v>
      </c>
    </row>
    <row r="1317" spans="1:6" ht="15.75" x14ac:dyDescent="0.25">
      <c r="A1317" s="38">
        <v>20</v>
      </c>
      <c r="B1317" s="34" t="s">
        <v>983</v>
      </c>
      <c r="C1317" s="18">
        <v>20540000000</v>
      </c>
      <c r="D1317" s="32" t="s">
        <v>2451</v>
      </c>
      <c r="E1317" s="5">
        <f>'ПДФО ГРОМАДИ'!M1317</f>
        <v>0</v>
      </c>
      <c r="F1317" s="5">
        <f>'ПДФО ГРОМАДИ'!N1317</f>
        <v>0</v>
      </c>
    </row>
    <row r="1318" spans="1:6" ht="15.75" x14ac:dyDescent="0.25">
      <c r="A1318" s="38">
        <v>20</v>
      </c>
      <c r="B1318" s="34" t="s">
        <v>985</v>
      </c>
      <c r="C1318" s="18">
        <v>20541000000</v>
      </c>
      <c r="D1318" s="32" t="s">
        <v>2452</v>
      </c>
      <c r="E1318" s="5">
        <f>'ПДФО ГРОМАДИ'!M1318</f>
        <v>0</v>
      </c>
      <c r="F1318" s="5">
        <f>'ПДФО ГРОМАДИ'!N1318</f>
        <v>5092.5</v>
      </c>
    </row>
    <row r="1319" spans="1:6" ht="15.75" x14ac:dyDescent="0.25">
      <c r="A1319" s="38">
        <v>20</v>
      </c>
      <c r="B1319" s="34" t="s">
        <v>984</v>
      </c>
      <c r="C1319" s="18">
        <v>20542000000</v>
      </c>
      <c r="D1319" s="32" t="s">
        <v>2453</v>
      </c>
      <c r="E1319" s="5">
        <f>'ПДФО ГРОМАДИ'!M1319</f>
        <v>0</v>
      </c>
      <c r="F1319" s="5">
        <f>'ПДФО ГРОМАДИ'!N1319</f>
        <v>348.6</v>
      </c>
    </row>
    <row r="1320" spans="1:6" ht="15.75" x14ac:dyDescent="0.25">
      <c r="A1320" s="38">
        <v>20</v>
      </c>
      <c r="B1320" s="34" t="s">
        <v>986</v>
      </c>
      <c r="C1320" s="18">
        <v>20543000000</v>
      </c>
      <c r="D1320" s="32" t="s">
        <v>2454</v>
      </c>
      <c r="E1320" s="5">
        <f>'ПДФО ГРОМАДИ'!M1320</f>
        <v>0</v>
      </c>
      <c r="F1320" s="5">
        <f>'ПДФО ГРОМАДИ'!N1320</f>
        <v>0</v>
      </c>
    </row>
    <row r="1321" spans="1:6" ht="15.75" x14ac:dyDescent="0.25">
      <c r="A1321" s="38">
        <v>20</v>
      </c>
      <c r="B1321" s="34" t="s">
        <v>984</v>
      </c>
      <c r="C1321" s="18">
        <v>20544000000</v>
      </c>
      <c r="D1321" s="32" t="s">
        <v>2455</v>
      </c>
      <c r="E1321" s="5">
        <f>'ПДФО ГРОМАДИ'!M1321</f>
        <v>0</v>
      </c>
      <c r="F1321" s="5">
        <f>'ПДФО ГРОМАДИ'!N1321</f>
        <v>12194.1</v>
      </c>
    </row>
    <row r="1322" spans="1:6" ht="15.75" x14ac:dyDescent="0.25">
      <c r="A1322" s="38">
        <v>20</v>
      </c>
      <c r="B1322" s="34" t="s">
        <v>986</v>
      </c>
      <c r="C1322" s="18">
        <v>20545000000</v>
      </c>
      <c r="D1322" s="32" t="s">
        <v>2456</v>
      </c>
      <c r="E1322" s="5">
        <f>'ПДФО ГРОМАДИ'!M1322</f>
        <v>0</v>
      </c>
      <c r="F1322" s="5">
        <f>'ПДФО ГРОМАДИ'!N1322</f>
        <v>25575.4</v>
      </c>
    </row>
    <row r="1323" spans="1:6" ht="15.75" x14ac:dyDescent="0.25">
      <c r="A1323" s="38">
        <v>20</v>
      </c>
      <c r="B1323" s="34" t="s">
        <v>985</v>
      </c>
      <c r="C1323" s="18">
        <v>20546000000</v>
      </c>
      <c r="D1323" s="32" t="s">
        <v>2457</v>
      </c>
      <c r="E1323" s="5">
        <f>'ПДФО ГРОМАДИ'!M1323</f>
        <v>0</v>
      </c>
      <c r="F1323" s="5">
        <f>'ПДФО ГРОМАДИ'!N1323</f>
        <v>24688.7</v>
      </c>
    </row>
    <row r="1324" spans="1:6" ht="15.75" x14ac:dyDescent="0.25">
      <c r="A1324" s="38">
        <v>20</v>
      </c>
      <c r="B1324" s="34" t="s">
        <v>986</v>
      </c>
      <c r="C1324" s="18">
        <v>20547000000</v>
      </c>
      <c r="D1324" s="32" t="s">
        <v>2095</v>
      </c>
      <c r="E1324" s="5">
        <f>'ПДФО ГРОМАДИ'!M1324</f>
        <v>0</v>
      </c>
      <c r="F1324" s="5">
        <f>'ПДФО ГРОМАДИ'!N1324</f>
        <v>20364.400000000001</v>
      </c>
    </row>
    <row r="1325" spans="1:6" ht="15.75" x14ac:dyDescent="0.25">
      <c r="A1325" s="38">
        <v>20</v>
      </c>
      <c r="B1325" s="34" t="s">
        <v>985</v>
      </c>
      <c r="C1325" s="18">
        <v>20548000000</v>
      </c>
      <c r="D1325" s="32" t="s">
        <v>2458</v>
      </c>
      <c r="E1325" s="5">
        <f>'ПДФО ГРОМАДИ'!M1325</f>
        <v>0</v>
      </c>
      <c r="F1325" s="5">
        <f>'ПДФО ГРОМАДИ'!N1325</f>
        <v>7249.1</v>
      </c>
    </row>
    <row r="1326" spans="1:6" ht="15.75" x14ac:dyDescent="0.25">
      <c r="A1326" s="38">
        <v>20</v>
      </c>
      <c r="B1326" s="34" t="s">
        <v>983</v>
      </c>
      <c r="C1326" s="18">
        <v>20549000000</v>
      </c>
      <c r="D1326" s="32" t="s">
        <v>2844</v>
      </c>
      <c r="E1326" s="5">
        <f>'ПДФО ГРОМАДИ'!M1326</f>
        <v>0</v>
      </c>
      <c r="F1326" s="5">
        <f>'ПДФО ГРОМАДИ'!N1326</f>
        <v>21730.2</v>
      </c>
    </row>
    <row r="1327" spans="1:6" ht="15.75" x14ac:dyDescent="0.25">
      <c r="A1327" s="38">
        <v>20</v>
      </c>
      <c r="B1327" s="34" t="s">
        <v>985</v>
      </c>
      <c r="C1327" s="18">
        <v>20550000000</v>
      </c>
      <c r="D1327" s="32" t="s">
        <v>2459</v>
      </c>
      <c r="E1327" s="5">
        <f>'ПДФО ГРОМАДИ'!M1327</f>
        <v>0</v>
      </c>
      <c r="F1327" s="5">
        <f>'ПДФО ГРОМАДИ'!N1327</f>
        <v>17268.3</v>
      </c>
    </row>
    <row r="1328" spans="1:6" ht="15.75" x14ac:dyDescent="0.25">
      <c r="A1328" s="38">
        <v>20</v>
      </c>
      <c r="B1328" s="34" t="s">
        <v>985</v>
      </c>
      <c r="C1328" s="18">
        <v>20551000000</v>
      </c>
      <c r="D1328" s="32" t="s">
        <v>2460</v>
      </c>
      <c r="E1328" s="5">
        <f>'ПДФО ГРОМАДИ'!M1328</f>
        <v>0</v>
      </c>
      <c r="F1328" s="5">
        <f>'ПДФО ГРОМАДИ'!N1328</f>
        <v>13295.7</v>
      </c>
    </row>
    <row r="1329" spans="1:6" ht="15.75" x14ac:dyDescent="0.25">
      <c r="A1329" s="38">
        <v>20</v>
      </c>
      <c r="B1329" s="34" t="s">
        <v>985</v>
      </c>
      <c r="C1329" s="18">
        <v>20552000000</v>
      </c>
      <c r="D1329" s="32" t="s">
        <v>2461</v>
      </c>
      <c r="E1329" s="5">
        <f>'ПДФО ГРОМАДИ'!M1329</f>
        <v>0</v>
      </c>
      <c r="F1329" s="5">
        <f>'ПДФО ГРОМАДИ'!N1329</f>
        <v>0</v>
      </c>
    </row>
    <row r="1330" spans="1:6" ht="15.75" x14ac:dyDescent="0.25">
      <c r="A1330" s="38">
        <v>20</v>
      </c>
      <c r="B1330" s="34" t="s">
        <v>985</v>
      </c>
      <c r="C1330" s="18">
        <v>20553000000</v>
      </c>
      <c r="D1330" s="32" t="s">
        <v>2462</v>
      </c>
      <c r="E1330" s="5">
        <f>'ПДФО ГРОМАДИ'!M1330</f>
        <v>0</v>
      </c>
      <c r="F1330" s="5">
        <f>'ПДФО ГРОМАДИ'!N1330</f>
        <v>6197</v>
      </c>
    </row>
    <row r="1331" spans="1:6" ht="15.75" x14ac:dyDescent="0.25">
      <c r="A1331" s="38">
        <v>20</v>
      </c>
      <c r="B1331" s="34" t="s">
        <v>986</v>
      </c>
      <c r="C1331" s="18">
        <v>20554000000</v>
      </c>
      <c r="D1331" s="32" t="s">
        <v>1063</v>
      </c>
      <c r="E1331" s="5">
        <f>'ПДФО ГРОМАДИ'!M1331</f>
        <v>352825.5</v>
      </c>
      <c r="F1331" s="5">
        <f>'ПДФО ГРОМАДИ'!N1331</f>
        <v>0</v>
      </c>
    </row>
    <row r="1332" spans="1:6" ht="15.75" x14ac:dyDescent="0.25">
      <c r="A1332" s="38">
        <v>20</v>
      </c>
      <c r="B1332" s="34" t="s">
        <v>986</v>
      </c>
      <c r="C1332" s="18">
        <v>20555000000</v>
      </c>
      <c r="D1332" s="32" t="s">
        <v>2463</v>
      </c>
      <c r="E1332" s="5">
        <f>'ПДФО ГРОМАДИ'!M1332</f>
        <v>12749.4</v>
      </c>
      <c r="F1332" s="5">
        <f>'ПДФО ГРОМАДИ'!N1332</f>
        <v>0</v>
      </c>
    </row>
    <row r="1333" spans="1:6" ht="15.75" x14ac:dyDescent="0.25">
      <c r="A1333" s="38">
        <v>20</v>
      </c>
      <c r="B1333" s="34" t="s">
        <v>985</v>
      </c>
      <c r="C1333" s="18">
        <v>20556000000</v>
      </c>
      <c r="D1333" s="32" t="s">
        <v>2464</v>
      </c>
      <c r="E1333" s="5">
        <f>'ПДФО ГРОМАДИ'!M1333</f>
        <v>0</v>
      </c>
      <c r="F1333" s="5">
        <f>'ПДФО ГРОМАДИ'!N1333</f>
        <v>3774.5</v>
      </c>
    </row>
    <row r="1334" spans="1:6" ht="15.75" x14ac:dyDescent="0.25">
      <c r="A1334" s="36">
        <v>21</v>
      </c>
      <c r="B1334" s="17" t="s">
        <v>7</v>
      </c>
      <c r="C1334" s="17" t="s">
        <v>814</v>
      </c>
      <c r="D1334" s="11" t="s">
        <v>859</v>
      </c>
      <c r="E1334" s="11">
        <f>E1335+E1336+E1342</f>
        <v>1287.8</v>
      </c>
      <c r="F1334" s="11">
        <f>F1335+F1336+F1342</f>
        <v>631095.69999999995</v>
      </c>
    </row>
    <row r="1335" spans="1:6" ht="15.75" x14ac:dyDescent="0.25">
      <c r="A1335" s="38">
        <v>21</v>
      </c>
      <c r="B1335" s="34" t="s">
        <v>6</v>
      </c>
      <c r="C1335" s="18" t="s">
        <v>184</v>
      </c>
      <c r="D1335" s="32" t="s">
        <v>860</v>
      </c>
      <c r="E1335" s="5">
        <f>'ПДФО ОБЛАСНІ'!K23+'ПОДАТОК НА ПРИБУТОК'!K23</f>
        <v>0</v>
      </c>
      <c r="F1335" s="5">
        <f>'ПДФО ОБЛАСНІ'!L23+'ПОДАТОК НА ПРИБУТОК'!L23</f>
        <v>121308.8</v>
      </c>
    </row>
    <row r="1336" spans="1:6" ht="15.75" x14ac:dyDescent="0.25">
      <c r="A1336" s="37">
        <v>21</v>
      </c>
      <c r="B1336" s="19" t="s">
        <v>5</v>
      </c>
      <c r="C1336" s="19" t="s">
        <v>815</v>
      </c>
      <c r="D1336" s="7" t="s">
        <v>2814</v>
      </c>
      <c r="E1336" s="7">
        <f>SUM(E1337:E1341)</f>
        <v>0</v>
      </c>
      <c r="F1336" s="7">
        <f>SUM(F1337:F1341)</f>
        <v>0</v>
      </c>
    </row>
    <row r="1337" spans="1:6" ht="15.75" x14ac:dyDescent="0.25">
      <c r="A1337" s="38">
        <v>21</v>
      </c>
      <c r="B1337" s="34" t="s">
        <v>4</v>
      </c>
      <c r="C1337" s="18" t="s">
        <v>2758</v>
      </c>
      <c r="D1337" s="32" t="s">
        <v>2759</v>
      </c>
      <c r="E1337" s="5">
        <f>'ПДФО ГРОМАДИ'!M1337</f>
        <v>0</v>
      </c>
      <c r="F1337" s="5">
        <f>'ПДФО ГРОМАДИ'!N1337</f>
        <v>0</v>
      </c>
    </row>
    <row r="1338" spans="1:6" ht="15.75" x14ac:dyDescent="0.25">
      <c r="A1338" s="38">
        <v>21</v>
      </c>
      <c r="B1338" s="34" t="s">
        <v>4</v>
      </c>
      <c r="C1338" s="18" t="s">
        <v>185</v>
      </c>
      <c r="D1338" s="32" t="s">
        <v>958</v>
      </c>
      <c r="E1338" s="5">
        <f>'ПДФО ГРОМАДИ'!M1338</f>
        <v>0</v>
      </c>
      <c r="F1338" s="5">
        <f>'ПДФО ГРОМАДИ'!N1338</f>
        <v>0</v>
      </c>
    </row>
    <row r="1339" spans="1:6" ht="15.75" x14ac:dyDescent="0.25">
      <c r="A1339" s="38">
        <v>21</v>
      </c>
      <c r="B1339" s="34" t="s">
        <v>4</v>
      </c>
      <c r="C1339" s="18" t="s">
        <v>186</v>
      </c>
      <c r="D1339" s="32" t="s">
        <v>959</v>
      </c>
      <c r="E1339" s="5">
        <f>'ПДФО ГРОМАДИ'!M1339</f>
        <v>0</v>
      </c>
      <c r="F1339" s="5">
        <f>'ПДФО ГРОМАДИ'!N1339</f>
        <v>0</v>
      </c>
    </row>
    <row r="1340" spans="1:6" ht="15.75" x14ac:dyDescent="0.25">
      <c r="A1340" s="38">
        <v>21</v>
      </c>
      <c r="B1340" s="34" t="s">
        <v>4</v>
      </c>
      <c r="C1340" s="18" t="s">
        <v>2760</v>
      </c>
      <c r="D1340" s="32" t="s">
        <v>2761</v>
      </c>
      <c r="E1340" s="5">
        <f>'ПДФО ГРОМАДИ'!M1340</f>
        <v>0</v>
      </c>
      <c r="F1340" s="5">
        <f>'ПДФО ГРОМАДИ'!N1340</f>
        <v>0</v>
      </c>
    </row>
    <row r="1341" spans="1:6" ht="15.75" x14ac:dyDescent="0.25">
      <c r="A1341" s="38">
        <v>21</v>
      </c>
      <c r="B1341" s="34" t="s">
        <v>4</v>
      </c>
      <c r="C1341" s="18">
        <v>21319200000</v>
      </c>
      <c r="D1341" s="32" t="s">
        <v>2465</v>
      </c>
      <c r="E1341" s="5">
        <f>'ПДФО ГРОМАДИ'!M1341</f>
        <v>0</v>
      </c>
      <c r="F1341" s="5">
        <f>'ПДФО ГРОМАДИ'!N1341</f>
        <v>0</v>
      </c>
    </row>
    <row r="1342" spans="1:6" ht="15.75" x14ac:dyDescent="0.25">
      <c r="A1342" s="37">
        <v>21</v>
      </c>
      <c r="B1342" s="19" t="s">
        <v>28</v>
      </c>
      <c r="C1342" s="19" t="s">
        <v>816</v>
      </c>
      <c r="D1342" s="20" t="s">
        <v>2787</v>
      </c>
      <c r="E1342" s="7">
        <f>SUM(E1343:E1391)</f>
        <v>1287.8</v>
      </c>
      <c r="F1342" s="7">
        <f>SUM(F1343:F1391)</f>
        <v>509786.89999999997</v>
      </c>
    </row>
    <row r="1343" spans="1:6" ht="15.75" x14ac:dyDescent="0.25">
      <c r="A1343" s="38">
        <v>21</v>
      </c>
      <c r="B1343" s="34" t="s">
        <v>984</v>
      </c>
      <c r="C1343" s="18" t="s">
        <v>187</v>
      </c>
      <c r="D1343" s="32" t="s">
        <v>2466</v>
      </c>
      <c r="E1343" s="5">
        <f>'ПДФО ГРОМАДИ'!M1343</f>
        <v>0</v>
      </c>
      <c r="F1343" s="5">
        <f>'ПДФО ГРОМАДИ'!N1343</f>
        <v>2411.6</v>
      </c>
    </row>
    <row r="1344" spans="1:6" ht="15.75" x14ac:dyDescent="0.25">
      <c r="A1344" s="38">
        <v>21</v>
      </c>
      <c r="B1344" s="34" t="s">
        <v>985</v>
      </c>
      <c r="C1344" s="18" t="s">
        <v>433</v>
      </c>
      <c r="D1344" s="32" t="s">
        <v>2467</v>
      </c>
      <c r="E1344" s="5">
        <f>'ПДФО ГРОМАДИ'!M1344</f>
        <v>0</v>
      </c>
      <c r="F1344" s="5">
        <f>'ПДФО ГРОМАДИ'!N1344</f>
        <v>5149.2</v>
      </c>
    </row>
    <row r="1345" spans="1:6" ht="15.75" x14ac:dyDescent="0.25">
      <c r="A1345" s="38">
        <v>21</v>
      </c>
      <c r="B1345" s="34" t="s">
        <v>985</v>
      </c>
      <c r="C1345" s="18" t="s">
        <v>434</v>
      </c>
      <c r="D1345" s="32" t="s">
        <v>2468</v>
      </c>
      <c r="E1345" s="5">
        <f>'ПДФО ГРОМАДИ'!M1345</f>
        <v>0</v>
      </c>
      <c r="F1345" s="5">
        <f>'ПДФО ГРОМАДИ'!N1345</f>
        <v>9394.4</v>
      </c>
    </row>
    <row r="1346" spans="1:6" ht="15.75" x14ac:dyDescent="0.25">
      <c r="A1346" s="38">
        <v>21</v>
      </c>
      <c r="B1346" s="34" t="s">
        <v>985</v>
      </c>
      <c r="C1346" s="18" t="s">
        <v>435</v>
      </c>
      <c r="D1346" s="32" t="s">
        <v>1368</v>
      </c>
      <c r="E1346" s="5">
        <f>'ПДФО ГРОМАДИ'!M1346</f>
        <v>0</v>
      </c>
      <c r="F1346" s="5">
        <f>'ПДФО ГРОМАДИ'!N1346</f>
        <v>0</v>
      </c>
    </row>
    <row r="1347" spans="1:6" ht="15.75" x14ac:dyDescent="0.25">
      <c r="A1347" s="38">
        <v>21</v>
      </c>
      <c r="B1347" s="34" t="s">
        <v>985</v>
      </c>
      <c r="C1347" s="18" t="s">
        <v>436</v>
      </c>
      <c r="D1347" s="32" t="s">
        <v>2469</v>
      </c>
      <c r="E1347" s="5">
        <f>'ПДФО ГРОМАДИ'!M1347</f>
        <v>0</v>
      </c>
      <c r="F1347" s="5">
        <f>'ПДФО ГРОМАДИ'!N1347</f>
        <v>7625.7</v>
      </c>
    </row>
    <row r="1348" spans="1:6" ht="15.75" x14ac:dyDescent="0.25">
      <c r="A1348" s="38">
        <v>21</v>
      </c>
      <c r="B1348" s="34" t="s">
        <v>984</v>
      </c>
      <c r="C1348" s="18" t="s">
        <v>437</v>
      </c>
      <c r="D1348" s="32" t="s">
        <v>2470</v>
      </c>
      <c r="E1348" s="5">
        <f>'ПДФО ГРОМАДИ'!M1348</f>
        <v>0</v>
      </c>
      <c r="F1348" s="5">
        <f>'ПДФО ГРОМАДИ'!N1348</f>
        <v>4367.2</v>
      </c>
    </row>
    <row r="1349" spans="1:6" ht="15.75" x14ac:dyDescent="0.25">
      <c r="A1349" s="38">
        <v>21</v>
      </c>
      <c r="B1349" s="34" t="s">
        <v>984</v>
      </c>
      <c r="C1349" s="18" t="s">
        <v>438</v>
      </c>
      <c r="D1349" s="32" t="s">
        <v>2471</v>
      </c>
      <c r="E1349" s="5">
        <f>'ПДФО ГРОМАДИ'!M1349</f>
        <v>0</v>
      </c>
      <c r="F1349" s="5">
        <f>'ПДФО ГРОМАДИ'!N1349</f>
        <v>10910.5</v>
      </c>
    </row>
    <row r="1350" spans="1:6" ht="15.75" x14ac:dyDescent="0.25">
      <c r="A1350" s="38">
        <v>21</v>
      </c>
      <c r="B1350" s="34" t="s">
        <v>984</v>
      </c>
      <c r="C1350" s="18" t="s">
        <v>439</v>
      </c>
      <c r="D1350" s="32" t="s">
        <v>2472</v>
      </c>
      <c r="E1350" s="5">
        <f>'ПДФО ГРОМАДИ'!M1350</f>
        <v>0</v>
      </c>
      <c r="F1350" s="5">
        <f>'ПДФО ГРОМАДИ'!N1350</f>
        <v>0</v>
      </c>
    </row>
    <row r="1351" spans="1:6" ht="15.75" x14ac:dyDescent="0.25">
      <c r="A1351" s="38">
        <v>21</v>
      </c>
      <c r="B1351" s="34" t="s">
        <v>984</v>
      </c>
      <c r="C1351" s="18" t="s">
        <v>440</v>
      </c>
      <c r="D1351" s="32" t="s">
        <v>2473</v>
      </c>
      <c r="E1351" s="5">
        <f>'ПДФО ГРОМАДИ'!M1351</f>
        <v>1287.8</v>
      </c>
      <c r="F1351" s="5">
        <f>'ПДФО ГРОМАДИ'!N1351</f>
        <v>0</v>
      </c>
    </row>
    <row r="1352" spans="1:6" ht="15.75" x14ac:dyDescent="0.25">
      <c r="A1352" s="38">
        <v>21</v>
      </c>
      <c r="B1352" s="34" t="s">
        <v>984</v>
      </c>
      <c r="C1352" s="18" t="s">
        <v>441</v>
      </c>
      <c r="D1352" s="32" t="s">
        <v>2474</v>
      </c>
      <c r="E1352" s="5">
        <f>'ПДФО ГРОМАДИ'!M1352</f>
        <v>0</v>
      </c>
      <c r="F1352" s="5">
        <f>'ПДФО ГРОМАДИ'!N1352</f>
        <v>0</v>
      </c>
    </row>
    <row r="1353" spans="1:6" ht="15.75" x14ac:dyDescent="0.25">
      <c r="A1353" s="38">
        <v>21</v>
      </c>
      <c r="B1353" s="34" t="s">
        <v>984</v>
      </c>
      <c r="C1353" s="18" t="s">
        <v>442</v>
      </c>
      <c r="D1353" s="32" t="s">
        <v>2475</v>
      </c>
      <c r="E1353" s="5">
        <f>'ПДФО ГРОМАДИ'!M1353</f>
        <v>0</v>
      </c>
      <c r="F1353" s="5">
        <f>'ПДФО ГРОМАДИ'!N1353</f>
        <v>1968.5</v>
      </c>
    </row>
    <row r="1354" spans="1:6" ht="15.75" x14ac:dyDescent="0.25">
      <c r="A1354" s="38">
        <v>21</v>
      </c>
      <c r="B1354" s="34" t="s">
        <v>984</v>
      </c>
      <c r="C1354" s="18" t="s">
        <v>499</v>
      </c>
      <c r="D1354" s="32" t="s">
        <v>2476</v>
      </c>
      <c r="E1354" s="5">
        <f>'ПДФО ГРОМАДИ'!M1354</f>
        <v>0</v>
      </c>
      <c r="F1354" s="5">
        <f>'ПДФО ГРОМАДИ'!N1354</f>
        <v>21705.7</v>
      </c>
    </row>
    <row r="1355" spans="1:6" ht="15.75" x14ac:dyDescent="0.25">
      <c r="A1355" s="38">
        <v>21</v>
      </c>
      <c r="B1355" s="34" t="s">
        <v>985</v>
      </c>
      <c r="C1355" s="18" t="s">
        <v>500</v>
      </c>
      <c r="D1355" s="32" t="s">
        <v>2477</v>
      </c>
      <c r="E1355" s="5">
        <f>'ПДФО ГРОМАДИ'!M1355</f>
        <v>0</v>
      </c>
      <c r="F1355" s="5">
        <f>'ПДФО ГРОМАДИ'!N1355</f>
        <v>11907</v>
      </c>
    </row>
    <row r="1356" spans="1:6" ht="15.75" x14ac:dyDescent="0.25">
      <c r="A1356" s="38">
        <v>21</v>
      </c>
      <c r="B1356" s="34" t="s">
        <v>984</v>
      </c>
      <c r="C1356" s="18" t="s">
        <v>632</v>
      </c>
      <c r="D1356" s="32" t="s">
        <v>2478</v>
      </c>
      <c r="E1356" s="5">
        <f>'ПДФО ГРОМАДИ'!M1356</f>
        <v>0</v>
      </c>
      <c r="F1356" s="5">
        <f>'ПДФО ГРОМАДИ'!N1356</f>
        <v>15893.2</v>
      </c>
    </row>
    <row r="1357" spans="1:6" ht="15.75" x14ac:dyDescent="0.25">
      <c r="A1357" s="38">
        <v>21</v>
      </c>
      <c r="B1357" s="34" t="s">
        <v>985</v>
      </c>
      <c r="C1357" s="18" t="s">
        <v>633</v>
      </c>
      <c r="D1357" s="32" t="s">
        <v>2479</v>
      </c>
      <c r="E1357" s="5">
        <f>'ПДФО ГРОМАДИ'!M1357</f>
        <v>0</v>
      </c>
      <c r="F1357" s="5">
        <f>'ПДФО ГРОМАДИ'!N1357</f>
        <v>18999.3</v>
      </c>
    </row>
    <row r="1358" spans="1:6" ht="15.75" x14ac:dyDescent="0.25">
      <c r="A1358" s="38">
        <v>21</v>
      </c>
      <c r="B1358" s="34" t="s">
        <v>984</v>
      </c>
      <c r="C1358" s="18" t="s">
        <v>634</v>
      </c>
      <c r="D1358" s="32" t="s">
        <v>2480</v>
      </c>
      <c r="E1358" s="5">
        <f>'ПДФО ГРОМАДИ'!M1358</f>
        <v>0</v>
      </c>
      <c r="F1358" s="5">
        <f>'ПДФО ГРОМАДИ'!N1358</f>
        <v>0</v>
      </c>
    </row>
    <row r="1359" spans="1:6" ht="15.75" x14ac:dyDescent="0.25">
      <c r="A1359" s="38">
        <v>21</v>
      </c>
      <c r="B1359" s="34" t="s">
        <v>985</v>
      </c>
      <c r="C1359" s="18" t="s">
        <v>635</v>
      </c>
      <c r="D1359" s="32" t="s">
        <v>2481</v>
      </c>
      <c r="E1359" s="5">
        <f>'ПДФО ГРОМАДИ'!M1359</f>
        <v>0</v>
      </c>
      <c r="F1359" s="5">
        <f>'ПДФО ГРОМАДИ'!N1359</f>
        <v>7873.3</v>
      </c>
    </row>
    <row r="1360" spans="1:6" ht="15.75" x14ac:dyDescent="0.25">
      <c r="A1360" s="38">
        <v>21</v>
      </c>
      <c r="B1360" s="34" t="s">
        <v>984</v>
      </c>
      <c r="C1360" s="18" t="s">
        <v>636</v>
      </c>
      <c r="D1360" s="32" t="s">
        <v>2482</v>
      </c>
      <c r="E1360" s="5">
        <f>'ПДФО ГРОМАДИ'!M1360</f>
        <v>0</v>
      </c>
      <c r="F1360" s="5">
        <f>'ПДФО ГРОМАДИ'!N1360</f>
        <v>9417.6</v>
      </c>
    </row>
    <row r="1361" spans="1:6" ht="15.75" x14ac:dyDescent="0.25">
      <c r="A1361" s="38">
        <v>21</v>
      </c>
      <c r="B1361" s="34" t="s">
        <v>984</v>
      </c>
      <c r="C1361" s="18" t="s">
        <v>637</v>
      </c>
      <c r="D1361" s="32" t="s">
        <v>2483</v>
      </c>
      <c r="E1361" s="5">
        <f>'ПДФО ГРОМАДИ'!M1361</f>
        <v>0</v>
      </c>
      <c r="F1361" s="5">
        <f>'ПДФО ГРОМАДИ'!N1361</f>
        <v>10937.4</v>
      </c>
    </row>
    <row r="1362" spans="1:6" ht="15.75" x14ac:dyDescent="0.25">
      <c r="A1362" s="38">
        <v>21</v>
      </c>
      <c r="B1362" s="34" t="s">
        <v>984</v>
      </c>
      <c r="C1362" s="18" t="s">
        <v>638</v>
      </c>
      <c r="D1362" s="32" t="s">
        <v>1659</v>
      </c>
      <c r="E1362" s="5">
        <f>'ПДФО ГРОМАДИ'!M1362</f>
        <v>0</v>
      </c>
      <c r="F1362" s="5">
        <f>'ПДФО ГРОМАДИ'!N1362</f>
        <v>1157</v>
      </c>
    </row>
    <row r="1363" spans="1:6" ht="15.75" x14ac:dyDescent="0.25">
      <c r="A1363" s="38">
        <v>21</v>
      </c>
      <c r="B1363" s="34" t="s">
        <v>985</v>
      </c>
      <c r="C1363" s="18" t="s">
        <v>639</v>
      </c>
      <c r="D1363" s="32" t="s">
        <v>2484</v>
      </c>
      <c r="E1363" s="5">
        <f>'ПДФО ГРОМАДИ'!M1363</f>
        <v>0</v>
      </c>
      <c r="F1363" s="5">
        <f>'ПДФО ГРОМАДИ'!N1363</f>
        <v>4632.3999999999996</v>
      </c>
    </row>
    <row r="1364" spans="1:6" ht="15.75" x14ac:dyDescent="0.25">
      <c r="A1364" s="38">
        <v>21</v>
      </c>
      <c r="B1364" s="34" t="s">
        <v>984</v>
      </c>
      <c r="C1364" s="18" t="s">
        <v>640</v>
      </c>
      <c r="D1364" s="32" t="s">
        <v>2485</v>
      </c>
      <c r="E1364" s="5">
        <f>'ПДФО ГРОМАДИ'!M1364</f>
        <v>0</v>
      </c>
      <c r="F1364" s="5">
        <f>'ПДФО ГРОМАДИ'!N1364</f>
        <v>19359.8</v>
      </c>
    </row>
    <row r="1365" spans="1:6" ht="15.75" x14ac:dyDescent="0.25">
      <c r="A1365" s="38">
        <v>21</v>
      </c>
      <c r="B1365" s="34" t="s">
        <v>985</v>
      </c>
      <c r="C1365" s="18" t="s">
        <v>641</v>
      </c>
      <c r="D1365" s="32" t="s">
        <v>2486</v>
      </c>
      <c r="E1365" s="5">
        <f>'ПДФО ГРОМАДИ'!M1365</f>
        <v>0</v>
      </c>
      <c r="F1365" s="5">
        <f>'ПДФО ГРОМАДИ'!N1365</f>
        <v>5063.6000000000004</v>
      </c>
    </row>
    <row r="1366" spans="1:6" ht="15.75" x14ac:dyDescent="0.25">
      <c r="A1366" s="38">
        <v>21</v>
      </c>
      <c r="B1366" s="34" t="s">
        <v>984</v>
      </c>
      <c r="C1366" s="18" t="s">
        <v>716</v>
      </c>
      <c r="D1366" s="32" t="s">
        <v>2487</v>
      </c>
      <c r="E1366" s="5">
        <f>'ПДФО ГРОМАДИ'!M1366</f>
        <v>0</v>
      </c>
      <c r="F1366" s="5">
        <f>'ПДФО ГРОМАДИ'!N1366</f>
        <v>7417.5</v>
      </c>
    </row>
    <row r="1367" spans="1:6" ht="15.75" x14ac:dyDescent="0.25">
      <c r="A1367" s="38">
        <v>21</v>
      </c>
      <c r="B1367" s="34" t="s">
        <v>984</v>
      </c>
      <c r="C1367" s="18">
        <v>21527000000</v>
      </c>
      <c r="D1367" s="32" t="s">
        <v>2488</v>
      </c>
      <c r="E1367" s="5">
        <f>'ПДФО ГРОМАДИ'!M1367</f>
        <v>0</v>
      </c>
      <c r="F1367" s="5">
        <f>'ПДФО ГРОМАДИ'!N1367</f>
        <v>1742.3</v>
      </c>
    </row>
    <row r="1368" spans="1:6" ht="15.75" x14ac:dyDescent="0.25">
      <c r="A1368" s="38">
        <v>21</v>
      </c>
      <c r="B1368" s="34" t="s">
        <v>986</v>
      </c>
      <c r="C1368" s="18">
        <v>21528000000</v>
      </c>
      <c r="D1368" s="32" t="s">
        <v>2489</v>
      </c>
      <c r="E1368" s="5">
        <f>'ПДФО ГРОМАДИ'!M1368</f>
        <v>0</v>
      </c>
      <c r="F1368" s="5">
        <f>'ПДФО ГРОМАДИ'!N1368</f>
        <v>0</v>
      </c>
    </row>
    <row r="1369" spans="1:6" ht="15.75" x14ac:dyDescent="0.25">
      <c r="A1369" s="38">
        <v>21</v>
      </c>
      <c r="B1369" s="34" t="s">
        <v>986</v>
      </c>
      <c r="C1369" s="18">
        <v>21529000000</v>
      </c>
      <c r="D1369" s="32" t="s">
        <v>2490</v>
      </c>
      <c r="E1369" s="5">
        <f>'ПДФО ГРОМАДИ'!M1369</f>
        <v>0</v>
      </c>
      <c r="F1369" s="5">
        <f>'ПДФО ГРОМАДИ'!N1369</f>
        <v>27040.5</v>
      </c>
    </row>
    <row r="1370" spans="1:6" ht="15.75" x14ac:dyDescent="0.25">
      <c r="A1370" s="38">
        <v>21</v>
      </c>
      <c r="B1370" s="34" t="s">
        <v>984</v>
      </c>
      <c r="C1370" s="18">
        <v>21530000000</v>
      </c>
      <c r="D1370" s="32" t="s">
        <v>2491</v>
      </c>
      <c r="E1370" s="5">
        <f>'ПДФО ГРОМАДИ'!M1370</f>
        <v>0</v>
      </c>
      <c r="F1370" s="5">
        <f>'ПДФО ГРОМАДИ'!N1370</f>
        <v>9414.2999999999993</v>
      </c>
    </row>
    <row r="1371" spans="1:6" ht="15.75" x14ac:dyDescent="0.25">
      <c r="A1371" s="38">
        <v>21</v>
      </c>
      <c r="B1371" s="34" t="s">
        <v>983</v>
      </c>
      <c r="C1371" s="18">
        <v>21534000000</v>
      </c>
      <c r="D1371" s="80" t="s">
        <v>2492</v>
      </c>
      <c r="E1371" s="5">
        <f>'ПДФО ГРОМАДИ'!M1371</f>
        <v>0</v>
      </c>
      <c r="F1371" s="5">
        <f>'ПДФО ГРОМАДИ'!N1371</f>
        <v>8642.5</v>
      </c>
    </row>
    <row r="1372" spans="1:6" ht="15.75" x14ac:dyDescent="0.25">
      <c r="A1372" s="38">
        <v>21</v>
      </c>
      <c r="B1372" s="34" t="s">
        <v>985</v>
      </c>
      <c r="C1372" s="18">
        <v>21535000000</v>
      </c>
      <c r="D1372" s="80" t="s">
        <v>2493</v>
      </c>
      <c r="E1372" s="5">
        <f>'ПДФО ГРОМАДИ'!M1372</f>
        <v>0</v>
      </c>
      <c r="F1372" s="5">
        <f>'ПДФО ГРОМАДИ'!N1372</f>
        <v>5715.9</v>
      </c>
    </row>
    <row r="1373" spans="1:6" ht="15.75" x14ac:dyDescent="0.25">
      <c r="A1373" s="38">
        <v>21</v>
      </c>
      <c r="B1373" s="34" t="s">
        <v>985</v>
      </c>
      <c r="C1373" s="18">
        <v>21536000000</v>
      </c>
      <c r="D1373" s="80" t="s">
        <v>2494</v>
      </c>
      <c r="E1373" s="5">
        <f>'ПДФО ГРОМАДИ'!M1373</f>
        <v>0</v>
      </c>
      <c r="F1373" s="5">
        <f>'ПДФО ГРОМАДИ'!N1373</f>
        <v>12354.1</v>
      </c>
    </row>
    <row r="1374" spans="1:6" ht="15.75" x14ac:dyDescent="0.25">
      <c r="A1374" s="38">
        <v>21</v>
      </c>
      <c r="B1374" s="34" t="s">
        <v>985</v>
      </c>
      <c r="C1374" s="18">
        <v>21537000000</v>
      </c>
      <c r="D1374" s="80" t="s">
        <v>2495</v>
      </c>
      <c r="E1374" s="5">
        <f>'ПДФО ГРОМАДИ'!M1374</f>
        <v>0</v>
      </c>
      <c r="F1374" s="5">
        <f>'ПДФО ГРОМАДИ'!N1374</f>
        <v>12184.4</v>
      </c>
    </row>
    <row r="1375" spans="1:6" ht="15.75" x14ac:dyDescent="0.25">
      <c r="A1375" s="38">
        <v>21</v>
      </c>
      <c r="B1375" s="34" t="s">
        <v>983</v>
      </c>
      <c r="C1375" s="18">
        <v>21538000000</v>
      </c>
      <c r="D1375" s="80" t="s">
        <v>2496</v>
      </c>
      <c r="E1375" s="5">
        <f>'ПДФО ГРОМАДИ'!M1375</f>
        <v>0</v>
      </c>
      <c r="F1375" s="5">
        <f>'ПДФО ГРОМАДИ'!N1375</f>
        <v>60754.1</v>
      </c>
    </row>
    <row r="1376" spans="1:6" ht="15.75" x14ac:dyDescent="0.25">
      <c r="A1376" s="38">
        <v>21</v>
      </c>
      <c r="B1376" s="34" t="s">
        <v>984</v>
      </c>
      <c r="C1376" s="18">
        <v>21539000000</v>
      </c>
      <c r="D1376" s="80" t="s">
        <v>2497</v>
      </c>
      <c r="E1376" s="5">
        <f>'ПДФО ГРОМАДИ'!M1376</f>
        <v>0</v>
      </c>
      <c r="F1376" s="5">
        <f>'ПДФО ГРОМАДИ'!N1376</f>
        <v>17546.2</v>
      </c>
    </row>
    <row r="1377" spans="1:6" ht="15.75" x14ac:dyDescent="0.25">
      <c r="A1377" s="38">
        <v>21</v>
      </c>
      <c r="B1377" s="34" t="s">
        <v>985</v>
      </c>
      <c r="C1377" s="18">
        <v>21540000000</v>
      </c>
      <c r="D1377" s="80" t="s">
        <v>2498</v>
      </c>
      <c r="E1377" s="5">
        <f>'ПДФО ГРОМАДИ'!M1377</f>
        <v>0</v>
      </c>
      <c r="F1377" s="5">
        <f>'ПДФО ГРОМАДИ'!N1377</f>
        <v>4325.1000000000004</v>
      </c>
    </row>
    <row r="1378" spans="1:6" ht="15.75" x14ac:dyDescent="0.25">
      <c r="A1378" s="38">
        <v>21</v>
      </c>
      <c r="B1378" s="34" t="s">
        <v>986</v>
      </c>
      <c r="C1378" s="18">
        <v>21541000000</v>
      </c>
      <c r="D1378" s="80" t="s">
        <v>2499</v>
      </c>
      <c r="E1378" s="5">
        <f>'ПДФО ГРОМАДИ'!M1378</f>
        <v>0</v>
      </c>
      <c r="F1378" s="5">
        <f>'ПДФО ГРОМАДИ'!N1378</f>
        <v>0</v>
      </c>
    </row>
    <row r="1379" spans="1:6" ht="15.75" x14ac:dyDescent="0.25">
      <c r="A1379" s="38">
        <v>21</v>
      </c>
      <c r="B1379" s="34" t="s">
        <v>985</v>
      </c>
      <c r="C1379" s="18">
        <v>21542000000</v>
      </c>
      <c r="D1379" s="80" t="s">
        <v>2500</v>
      </c>
      <c r="E1379" s="5">
        <f>'ПДФО ГРОМАДИ'!M1379</f>
        <v>0</v>
      </c>
      <c r="F1379" s="5">
        <f>'ПДФО ГРОМАДИ'!N1379</f>
        <v>11015</v>
      </c>
    </row>
    <row r="1380" spans="1:6" ht="15.75" x14ac:dyDescent="0.25">
      <c r="A1380" s="38">
        <v>21</v>
      </c>
      <c r="B1380" s="34" t="s">
        <v>985</v>
      </c>
      <c r="C1380" s="18">
        <v>21543000000</v>
      </c>
      <c r="D1380" s="80" t="s">
        <v>2842</v>
      </c>
      <c r="E1380" s="5">
        <f>'ПДФО ГРОМАДИ'!M1380</f>
        <v>0</v>
      </c>
      <c r="F1380" s="5">
        <f>'ПДФО ГРОМАДИ'!N1380</f>
        <v>8993.9</v>
      </c>
    </row>
    <row r="1381" spans="1:6" ht="15.75" x14ac:dyDescent="0.25">
      <c r="A1381" s="38">
        <v>21</v>
      </c>
      <c r="B1381" s="34" t="s">
        <v>985</v>
      </c>
      <c r="C1381" s="18">
        <v>21544000000</v>
      </c>
      <c r="D1381" s="80" t="s">
        <v>2501</v>
      </c>
      <c r="E1381" s="5">
        <f>'ПДФО ГРОМАДИ'!M1381</f>
        <v>0</v>
      </c>
      <c r="F1381" s="5">
        <f>'ПДФО ГРОМАДИ'!N1381</f>
        <v>14175.6</v>
      </c>
    </row>
    <row r="1382" spans="1:6" ht="15.75" x14ac:dyDescent="0.25">
      <c r="A1382" s="38">
        <v>21</v>
      </c>
      <c r="B1382" s="34" t="s">
        <v>984</v>
      </c>
      <c r="C1382" s="18">
        <v>21545000000</v>
      </c>
      <c r="D1382" s="80" t="s">
        <v>2502</v>
      </c>
      <c r="E1382" s="5">
        <f>'ПДФО ГРОМАДИ'!M1382</f>
        <v>0</v>
      </c>
      <c r="F1382" s="5">
        <f>'ПДФО ГРОМАДИ'!N1382</f>
        <v>12037.2</v>
      </c>
    </row>
    <row r="1383" spans="1:6" ht="15.75" x14ac:dyDescent="0.25">
      <c r="A1383" s="38">
        <v>21</v>
      </c>
      <c r="B1383" s="34" t="s">
        <v>984</v>
      </c>
      <c r="C1383" s="18">
        <v>21546000000</v>
      </c>
      <c r="D1383" s="80" t="s">
        <v>2503</v>
      </c>
      <c r="E1383" s="5">
        <f>'ПДФО ГРОМАДИ'!M1383</f>
        <v>0</v>
      </c>
      <c r="F1383" s="5">
        <f>'ПДФО ГРОМАДИ'!N1383</f>
        <v>7342.1</v>
      </c>
    </row>
    <row r="1384" spans="1:6" ht="15.75" x14ac:dyDescent="0.25">
      <c r="A1384" s="38">
        <v>21</v>
      </c>
      <c r="B1384" s="34" t="s">
        <v>985</v>
      </c>
      <c r="C1384" s="18">
        <v>21547000000</v>
      </c>
      <c r="D1384" s="80" t="s">
        <v>2504</v>
      </c>
      <c r="E1384" s="5">
        <f>'ПДФО ГРОМАДИ'!M1384</f>
        <v>0</v>
      </c>
      <c r="F1384" s="5">
        <f>'ПДФО ГРОМАДИ'!N1384</f>
        <v>19865.099999999999</v>
      </c>
    </row>
    <row r="1385" spans="1:6" ht="15.75" x14ac:dyDescent="0.25">
      <c r="A1385" s="38">
        <v>21</v>
      </c>
      <c r="B1385" s="34" t="s">
        <v>983</v>
      </c>
      <c r="C1385" s="18">
        <v>21548000000</v>
      </c>
      <c r="D1385" s="80" t="s">
        <v>2505</v>
      </c>
      <c r="E1385" s="5">
        <f>'ПДФО ГРОМАДИ'!M1385</f>
        <v>0</v>
      </c>
      <c r="F1385" s="5">
        <f>'ПДФО ГРОМАДИ'!N1385</f>
        <v>27895.4</v>
      </c>
    </row>
    <row r="1386" spans="1:6" ht="15.75" x14ac:dyDescent="0.25">
      <c r="A1386" s="38">
        <v>21</v>
      </c>
      <c r="B1386" s="34" t="s">
        <v>984</v>
      </c>
      <c r="C1386" s="18">
        <v>21549000000</v>
      </c>
      <c r="D1386" s="80" t="s">
        <v>2506</v>
      </c>
      <c r="E1386" s="5">
        <f>'ПДФО ГРОМАДИ'!M1386</f>
        <v>0</v>
      </c>
      <c r="F1386" s="5">
        <f>'ПДФО ГРОМАДИ'!N1386</f>
        <v>361.3</v>
      </c>
    </row>
    <row r="1387" spans="1:6" ht="15.75" x14ac:dyDescent="0.25">
      <c r="A1387" s="38">
        <v>21</v>
      </c>
      <c r="B1387" s="34" t="s">
        <v>983</v>
      </c>
      <c r="C1387" s="18">
        <v>21550000000</v>
      </c>
      <c r="D1387" s="80" t="s">
        <v>2507</v>
      </c>
      <c r="E1387" s="5">
        <f>'ПДФО ГРОМАДИ'!M1387</f>
        <v>0</v>
      </c>
      <c r="F1387" s="5">
        <f>'ПДФО ГРОМАДИ'!N1387</f>
        <v>34986.199999999997</v>
      </c>
    </row>
    <row r="1388" spans="1:6" ht="15.75" x14ac:dyDescent="0.25">
      <c r="A1388" s="38">
        <v>21</v>
      </c>
      <c r="B1388" s="34" t="s">
        <v>983</v>
      </c>
      <c r="C1388" s="18">
        <v>21551000000</v>
      </c>
      <c r="D1388" s="80" t="s">
        <v>2508</v>
      </c>
      <c r="E1388" s="5">
        <f>'ПДФО ГРОМАДИ'!M1388</f>
        <v>0</v>
      </c>
      <c r="F1388" s="5">
        <f>'ПДФО ГРОМАДИ'!N1388</f>
        <v>16502.2</v>
      </c>
    </row>
    <row r="1389" spans="1:6" ht="15.75" x14ac:dyDescent="0.25">
      <c r="A1389" s="38">
        <v>21</v>
      </c>
      <c r="B1389" s="34" t="s">
        <v>984</v>
      </c>
      <c r="C1389" s="18">
        <v>21552000000</v>
      </c>
      <c r="D1389" s="80" t="s">
        <v>2509</v>
      </c>
      <c r="E1389" s="5">
        <f>'ПДФО ГРОМАДИ'!M1389</f>
        <v>0</v>
      </c>
      <c r="F1389" s="5">
        <f>'ПДФО ГРОМАДИ'!N1389</f>
        <v>15465.4</v>
      </c>
    </row>
    <row r="1390" spans="1:6" ht="15.75" x14ac:dyDescent="0.25">
      <c r="A1390" s="38">
        <v>21</v>
      </c>
      <c r="B1390" s="34" t="s">
        <v>986</v>
      </c>
      <c r="C1390" s="18">
        <v>21553000000</v>
      </c>
      <c r="D1390" s="80" t="s">
        <v>2510</v>
      </c>
      <c r="E1390" s="5">
        <f>'ПДФО ГРОМАДИ'!M1390</f>
        <v>0</v>
      </c>
      <c r="F1390" s="5">
        <f>'ПДФО ГРОМАДИ'!N1390</f>
        <v>0</v>
      </c>
    </row>
    <row r="1391" spans="1:6" ht="15.75" x14ac:dyDescent="0.25">
      <c r="A1391" s="38">
        <v>21</v>
      </c>
      <c r="B1391" s="34" t="s">
        <v>984</v>
      </c>
      <c r="C1391" s="18">
        <v>21554000000</v>
      </c>
      <c r="D1391" s="80" t="s">
        <v>2511</v>
      </c>
      <c r="E1391" s="5">
        <f>'ПДФО ГРОМАДИ'!M1391</f>
        <v>0</v>
      </c>
      <c r="F1391" s="5">
        <f>'ПДФО ГРОМАДИ'!N1391</f>
        <v>5237.2</v>
      </c>
    </row>
    <row r="1392" spans="1:6" ht="15.75" x14ac:dyDescent="0.25">
      <c r="A1392" s="36">
        <v>22</v>
      </c>
      <c r="B1392" s="17" t="s">
        <v>7</v>
      </c>
      <c r="C1392" s="17" t="s">
        <v>817</v>
      </c>
      <c r="D1392" s="11" t="s">
        <v>23</v>
      </c>
      <c r="E1392" s="11">
        <f>E1393+E1394+E1398</f>
        <v>178726.09999999998</v>
      </c>
      <c r="F1392" s="11">
        <f>F1393+F1394+F1398</f>
        <v>484121.9</v>
      </c>
    </row>
    <row r="1393" spans="1:6" ht="15.75" x14ac:dyDescent="0.25">
      <c r="A1393" s="38">
        <v>22</v>
      </c>
      <c r="B1393" s="34" t="s">
        <v>6</v>
      </c>
      <c r="C1393" s="18" t="s">
        <v>188</v>
      </c>
      <c r="D1393" s="32" t="s">
        <v>861</v>
      </c>
      <c r="E1393" s="5">
        <f>'ПДФО ОБЛАСНІ'!K24+'ПОДАТОК НА ПРИБУТОК'!K24</f>
        <v>0</v>
      </c>
      <c r="F1393" s="5">
        <f>'ПДФО ОБЛАСНІ'!L24+'ПОДАТОК НА ПРИБУТОК'!L24</f>
        <v>49457.1</v>
      </c>
    </row>
    <row r="1394" spans="1:6" ht="15.75" x14ac:dyDescent="0.25">
      <c r="A1394" s="37">
        <v>22</v>
      </c>
      <c r="B1394" s="19" t="s">
        <v>5</v>
      </c>
      <c r="C1394" s="19" t="s">
        <v>818</v>
      </c>
      <c r="D1394" s="7" t="s">
        <v>2815</v>
      </c>
      <c r="E1394" s="7">
        <f>SUM(E1395:E1397)</f>
        <v>0</v>
      </c>
      <c r="F1394" s="7">
        <f>SUM(F1395:F1397)</f>
        <v>0</v>
      </c>
    </row>
    <row r="1395" spans="1:6" ht="15.75" x14ac:dyDescent="0.25">
      <c r="A1395" s="38">
        <v>22</v>
      </c>
      <c r="B1395" s="34" t="s">
        <v>4</v>
      </c>
      <c r="C1395" s="18" t="s">
        <v>189</v>
      </c>
      <c r="D1395" s="32" t="s">
        <v>960</v>
      </c>
      <c r="E1395" s="5">
        <f>'ПДФО ГРОМАДИ'!M1395</f>
        <v>0</v>
      </c>
      <c r="F1395" s="5">
        <f>'ПДФО ГРОМАДИ'!N1395</f>
        <v>0</v>
      </c>
    </row>
    <row r="1396" spans="1:6" ht="15.75" x14ac:dyDescent="0.25">
      <c r="A1396" s="38">
        <v>22</v>
      </c>
      <c r="B1396" s="34" t="s">
        <v>4</v>
      </c>
      <c r="C1396" s="18" t="s">
        <v>190</v>
      </c>
      <c r="D1396" s="32" t="s">
        <v>961</v>
      </c>
      <c r="E1396" s="5">
        <f>'ПДФО ГРОМАДИ'!M1396</f>
        <v>0</v>
      </c>
      <c r="F1396" s="5">
        <f>'ПДФО ГРОМАДИ'!N1396</f>
        <v>0</v>
      </c>
    </row>
    <row r="1397" spans="1:6" ht="15.75" x14ac:dyDescent="0.25">
      <c r="A1397" s="38">
        <v>22</v>
      </c>
      <c r="B1397" s="34" t="s">
        <v>4</v>
      </c>
      <c r="C1397" s="18" t="s">
        <v>191</v>
      </c>
      <c r="D1397" s="32" t="s">
        <v>962</v>
      </c>
      <c r="E1397" s="5">
        <f>'ПДФО ГРОМАДИ'!M1397</f>
        <v>0</v>
      </c>
      <c r="F1397" s="5">
        <f>'ПДФО ГРОМАДИ'!N1397</f>
        <v>0</v>
      </c>
    </row>
    <row r="1398" spans="1:6" ht="15.75" x14ac:dyDescent="0.25">
      <c r="A1398" s="37">
        <v>22</v>
      </c>
      <c r="B1398" s="19" t="s">
        <v>28</v>
      </c>
      <c r="C1398" s="19" t="s">
        <v>819</v>
      </c>
      <c r="D1398" s="20" t="s">
        <v>2788</v>
      </c>
      <c r="E1398" s="7">
        <f>SUM(E1399:E1458)</f>
        <v>178726.09999999998</v>
      </c>
      <c r="F1398" s="7">
        <f>SUM(F1399:F1458)</f>
        <v>434664.80000000005</v>
      </c>
    </row>
    <row r="1399" spans="1:6" ht="15.75" x14ac:dyDescent="0.25">
      <c r="A1399" s="38">
        <v>22</v>
      </c>
      <c r="B1399" s="34" t="s">
        <v>984</v>
      </c>
      <c r="C1399" s="18" t="s">
        <v>192</v>
      </c>
      <c r="D1399" s="32" t="s">
        <v>2512</v>
      </c>
      <c r="E1399" s="5">
        <f>'ПДФО ГРОМАДИ'!M1399</f>
        <v>0</v>
      </c>
      <c r="F1399" s="5">
        <f>'ПДФО ГРОМАДИ'!N1399</f>
        <v>9887.2999999999993</v>
      </c>
    </row>
    <row r="1400" spans="1:6" ht="15.75" x14ac:dyDescent="0.25">
      <c r="A1400" s="38">
        <v>22</v>
      </c>
      <c r="B1400" s="34" t="s">
        <v>985</v>
      </c>
      <c r="C1400" s="18" t="s">
        <v>193</v>
      </c>
      <c r="D1400" s="32" t="s">
        <v>2513</v>
      </c>
      <c r="E1400" s="5">
        <f>'ПДФО ГРОМАДИ'!M1400</f>
        <v>0</v>
      </c>
      <c r="F1400" s="5">
        <f>'ПДФО ГРОМАДИ'!N1400</f>
        <v>5998.1</v>
      </c>
    </row>
    <row r="1401" spans="1:6" ht="15.75" x14ac:dyDescent="0.25">
      <c r="A1401" s="38">
        <v>22</v>
      </c>
      <c r="B1401" s="34" t="s">
        <v>983</v>
      </c>
      <c r="C1401" s="18" t="s">
        <v>194</v>
      </c>
      <c r="D1401" s="32" t="s">
        <v>2514</v>
      </c>
      <c r="E1401" s="5">
        <f>'ПДФО ГРОМАДИ'!M1401</f>
        <v>0</v>
      </c>
      <c r="F1401" s="5">
        <f>'ПДФО ГРОМАДИ'!N1401</f>
        <v>0</v>
      </c>
    </row>
    <row r="1402" spans="1:6" ht="15.75" x14ac:dyDescent="0.25">
      <c r="A1402" s="38">
        <v>22</v>
      </c>
      <c r="B1402" s="34" t="s">
        <v>984</v>
      </c>
      <c r="C1402" s="18" t="s">
        <v>195</v>
      </c>
      <c r="D1402" s="32" t="s">
        <v>2515</v>
      </c>
      <c r="E1402" s="5">
        <f>'ПДФО ГРОМАДИ'!M1402</f>
        <v>0</v>
      </c>
      <c r="F1402" s="5">
        <f>'ПДФО ГРОМАДИ'!N1402</f>
        <v>8855</v>
      </c>
    </row>
    <row r="1403" spans="1:6" ht="15.75" x14ac:dyDescent="0.25">
      <c r="A1403" s="38">
        <v>22</v>
      </c>
      <c r="B1403" s="34" t="s">
        <v>984</v>
      </c>
      <c r="C1403" s="18" t="s">
        <v>196</v>
      </c>
      <c r="D1403" s="32" t="s">
        <v>2516</v>
      </c>
      <c r="E1403" s="5">
        <f>'ПДФО ГРОМАДИ'!M1403</f>
        <v>0</v>
      </c>
      <c r="F1403" s="5">
        <f>'ПДФО ГРОМАДИ'!N1403</f>
        <v>5533.7</v>
      </c>
    </row>
    <row r="1404" spans="1:6" ht="15.75" x14ac:dyDescent="0.25">
      <c r="A1404" s="38">
        <v>22</v>
      </c>
      <c r="B1404" s="34" t="s">
        <v>984</v>
      </c>
      <c r="C1404" s="18" t="s">
        <v>197</v>
      </c>
      <c r="D1404" s="32" t="s">
        <v>2517</v>
      </c>
      <c r="E1404" s="5">
        <f>'ПДФО ГРОМАДИ'!M1404</f>
        <v>4609.1000000000004</v>
      </c>
      <c r="F1404" s="5">
        <f>'ПДФО ГРОМАДИ'!N1404</f>
        <v>0</v>
      </c>
    </row>
    <row r="1405" spans="1:6" ht="15.75" x14ac:dyDescent="0.25">
      <c r="A1405" s="38">
        <v>22</v>
      </c>
      <c r="B1405" s="34" t="s">
        <v>983</v>
      </c>
      <c r="C1405" s="18" t="s">
        <v>198</v>
      </c>
      <c r="D1405" s="32" t="s">
        <v>2820</v>
      </c>
      <c r="E1405" s="5">
        <f>'ПДФО ГРОМАДИ'!M1405</f>
        <v>0</v>
      </c>
      <c r="F1405" s="5">
        <f>'ПДФО ГРОМАДИ'!N1405</f>
        <v>27774.7</v>
      </c>
    </row>
    <row r="1406" spans="1:6" ht="15.75" x14ac:dyDescent="0.25">
      <c r="A1406" s="38">
        <v>22</v>
      </c>
      <c r="B1406" s="34" t="s">
        <v>985</v>
      </c>
      <c r="C1406" s="18" t="s">
        <v>199</v>
      </c>
      <c r="D1406" s="32" t="s">
        <v>2518</v>
      </c>
      <c r="E1406" s="5">
        <f>'ПДФО ГРОМАДИ'!M1406</f>
        <v>0</v>
      </c>
      <c r="F1406" s="5">
        <f>'ПДФО ГРОМАДИ'!N1406</f>
        <v>8507.6</v>
      </c>
    </row>
    <row r="1407" spans="1:6" ht="15.75" x14ac:dyDescent="0.25">
      <c r="A1407" s="38">
        <v>22</v>
      </c>
      <c r="B1407" s="34" t="s">
        <v>984</v>
      </c>
      <c r="C1407" s="18" t="s">
        <v>200</v>
      </c>
      <c r="D1407" s="32" t="s">
        <v>2519</v>
      </c>
      <c r="E1407" s="5">
        <f>'ПДФО ГРОМАДИ'!M1407</f>
        <v>0</v>
      </c>
      <c r="F1407" s="5">
        <f>'ПДФО ГРОМАДИ'!N1407</f>
        <v>7324.6</v>
      </c>
    </row>
    <row r="1408" spans="1:6" ht="15.75" x14ac:dyDescent="0.25">
      <c r="A1408" s="38">
        <v>22</v>
      </c>
      <c r="B1408" s="34" t="s">
        <v>985</v>
      </c>
      <c r="C1408" s="18" t="s">
        <v>201</v>
      </c>
      <c r="D1408" s="32" t="s">
        <v>2520</v>
      </c>
      <c r="E1408" s="5">
        <f>'ПДФО ГРОМАДИ'!M1408</f>
        <v>0</v>
      </c>
      <c r="F1408" s="5">
        <f>'ПДФО ГРОМАДИ'!N1408</f>
        <v>6030.4</v>
      </c>
    </row>
    <row r="1409" spans="1:6" ht="15.75" x14ac:dyDescent="0.25">
      <c r="A1409" s="38">
        <v>22</v>
      </c>
      <c r="B1409" s="34" t="s">
        <v>984</v>
      </c>
      <c r="C1409" s="18" t="s">
        <v>202</v>
      </c>
      <c r="D1409" s="32" t="s">
        <v>2521</v>
      </c>
      <c r="E1409" s="5">
        <f>'ПДФО ГРОМАДИ'!M1409</f>
        <v>0</v>
      </c>
      <c r="F1409" s="5">
        <f>'ПДФО ГРОМАДИ'!N1409</f>
        <v>5422.6</v>
      </c>
    </row>
    <row r="1410" spans="1:6" ht="15.75" x14ac:dyDescent="0.25">
      <c r="A1410" s="38">
        <v>22</v>
      </c>
      <c r="B1410" s="34" t="s">
        <v>984</v>
      </c>
      <c r="C1410" s="18" t="s">
        <v>203</v>
      </c>
      <c r="D1410" s="32" t="s">
        <v>2522</v>
      </c>
      <c r="E1410" s="5">
        <f>'ПДФО ГРОМАДИ'!M1410</f>
        <v>0</v>
      </c>
      <c r="F1410" s="5">
        <f>'ПДФО ГРОМАДИ'!N1410</f>
        <v>8656.2000000000007</v>
      </c>
    </row>
    <row r="1411" spans="1:6" ht="15.75" x14ac:dyDescent="0.25">
      <c r="A1411" s="38">
        <v>22</v>
      </c>
      <c r="B1411" s="34" t="s">
        <v>985</v>
      </c>
      <c r="C1411" s="18" t="s">
        <v>204</v>
      </c>
      <c r="D1411" s="32" t="s">
        <v>2523</v>
      </c>
      <c r="E1411" s="5">
        <f>'ПДФО ГРОМАДИ'!M1411</f>
        <v>0</v>
      </c>
      <c r="F1411" s="5">
        <f>'ПДФО ГРОМАДИ'!N1411</f>
        <v>0</v>
      </c>
    </row>
    <row r="1412" spans="1:6" ht="15.75" x14ac:dyDescent="0.25">
      <c r="A1412" s="38">
        <v>22</v>
      </c>
      <c r="B1412" s="34" t="s">
        <v>985</v>
      </c>
      <c r="C1412" s="18" t="s">
        <v>205</v>
      </c>
      <c r="D1412" s="32" t="s">
        <v>2524</v>
      </c>
      <c r="E1412" s="5">
        <f>'ПДФО ГРОМАДИ'!M1412</f>
        <v>0</v>
      </c>
      <c r="F1412" s="5">
        <f>'ПДФО ГРОМАДИ'!N1412</f>
        <v>2348.1</v>
      </c>
    </row>
    <row r="1413" spans="1:6" ht="15.75" x14ac:dyDescent="0.25">
      <c r="A1413" s="38">
        <v>22</v>
      </c>
      <c r="B1413" s="34" t="s">
        <v>985</v>
      </c>
      <c r="C1413" s="18" t="s">
        <v>262</v>
      </c>
      <c r="D1413" s="32" t="s">
        <v>2525</v>
      </c>
      <c r="E1413" s="5">
        <f>'ПДФО ГРОМАДИ'!M1413</f>
        <v>0</v>
      </c>
      <c r="F1413" s="5">
        <f>'ПДФО ГРОМАДИ'!N1413</f>
        <v>19895.5</v>
      </c>
    </row>
    <row r="1414" spans="1:6" ht="15.75" x14ac:dyDescent="0.25">
      <c r="A1414" s="38">
        <v>22</v>
      </c>
      <c r="B1414" s="34" t="s">
        <v>983</v>
      </c>
      <c r="C1414" s="18" t="s">
        <v>263</v>
      </c>
      <c r="D1414" s="32" t="s">
        <v>2526</v>
      </c>
      <c r="E1414" s="5">
        <f>'ПДФО ГРОМАДИ'!M1414</f>
        <v>0</v>
      </c>
      <c r="F1414" s="5">
        <f>'ПДФО ГРОМАДИ'!N1414</f>
        <v>23797.599999999999</v>
      </c>
    </row>
    <row r="1415" spans="1:6" ht="15.75" x14ac:dyDescent="0.25">
      <c r="A1415" s="38">
        <v>22</v>
      </c>
      <c r="B1415" s="34" t="s">
        <v>985</v>
      </c>
      <c r="C1415" s="18" t="s">
        <v>264</v>
      </c>
      <c r="D1415" s="32" t="s">
        <v>2527</v>
      </c>
      <c r="E1415" s="5">
        <f>'ПДФО ГРОМАДИ'!M1415</f>
        <v>0</v>
      </c>
      <c r="F1415" s="5">
        <f>'ПДФО ГРОМАДИ'!N1415</f>
        <v>3012.4</v>
      </c>
    </row>
    <row r="1416" spans="1:6" ht="15.75" x14ac:dyDescent="0.25">
      <c r="A1416" s="38">
        <v>22</v>
      </c>
      <c r="B1416" s="34" t="s">
        <v>984</v>
      </c>
      <c r="C1416" s="18" t="s">
        <v>265</v>
      </c>
      <c r="D1416" s="32" t="s">
        <v>2528</v>
      </c>
      <c r="E1416" s="5">
        <f>'ПДФО ГРОМАДИ'!M1416</f>
        <v>3374.7</v>
      </c>
      <c r="F1416" s="5">
        <f>'ПДФО ГРОМАДИ'!N1416</f>
        <v>0</v>
      </c>
    </row>
    <row r="1417" spans="1:6" ht="15.75" x14ac:dyDescent="0.25">
      <c r="A1417" s="38">
        <v>22</v>
      </c>
      <c r="B1417" s="34" t="s">
        <v>985</v>
      </c>
      <c r="C1417" s="18" t="s">
        <v>266</v>
      </c>
      <c r="D1417" s="32" t="s">
        <v>2832</v>
      </c>
      <c r="E1417" s="5">
        <f>'ПДФО ГРОМАДИ'!M1417</f>
        <v>0</v>
      </c>
      <c r="F1417" s="5">
        <f>'ПДФО ГРОМАДИ'!N1417</f>
        <v>8074.5</v>
      </c>
    </row>
    <row r="1418" spans="1:6" ht="15.75" x14ac:dyDescent="0.25">
      <c r="A1418" s="38">
        <v>22</v>
      </c>
      <c r="B1418" s="34" t="s">
        <v>985</v>
      </c>
      <c r="C1418" s="18" t="s">
        <v>267</v>
      </c>
      <c r="D1418" s="32" t="s">
        <v>2529</v>
      </c>
      <c r="E1418" s="5">
        <f>'ПДФО ГРОМАДИ'!M1418</f>
        <v>0</v>
      </c>
      <c r="F1418" s="5">
        <f>'ПДФО ГРОМАДИ'!N1418</f>
        <v>6188.7</v>
      </c>
    </row>
    <row r="1419" spans="1:6" ht="15.75" x14ac:dyDescent="0.25">
      <c r="A1419" s="38">
        <v>22</v>
      </c>
      <c r="B1419" s="34" t="s">
        <v>985</v>
      </c>
      <c r="C1419" s="18" t="s">
        <v>268</v>
      </c>
      <c r="D1419" s="32" t="s">
        <v>2530</v>
      </c>
      <c r="E1419" s="5">
        <f>'ПДФО ГРОМАДИ'!M1419</f>
        <v>0</v>
      </c>
      <c r="F1419" s="5">
        <f>'ПДФО ГРОМАДИ'!N1419</f>
        <v>12983.5</v>
      </c>
    </row>
    <row r="1420" spans="1:6" ht="15.75" x14ac:dyDescent="0.25">
      <c r="A1420" s="38">
        <v>22</v>
      </c>
      <c r="B1420" s="34" t="s">
        <v>985</v>
      </c>
      <c r="C1420" s="18" t="s">
        <v>443</v>
      </c>
      <c r="D1420" s="32" t="s">
        <v>2531</v>
      </c>
      <c r="E1420" s="5">
        <f>'ПДФО ГРОМАДИ'!M1420</f>
        <v>0</v>
      </c>
      <c r="F1420" s="5">
        <f>'ПДФО ГРОМАДИ'!N1420</f>
        <v>6784.1</v>
      </c>
    </row>
    <row r="1421" spans="1:6" ht="15.75" x14ac:dyDescent="0.25">
      <c r="A1421" s="38">
        <v>22</v>
      </c>
      <c r="B1421" s="34" t="s">
        <v>984</v>
      </c>
      <c r="C1421" s="18" t="s">
        <v>444</v>
      </c>
      <c r="D1421" s="32" t="s">
        <v>2532</v>
      </c>
      <c r="E1421" s="5">
        <f>'ПДФО ГРОМАДИ'!M1421</f>
        <v>0</v>
      </c>
      <c r="F1421" s="5">
        <f>'ПДФО ГРОМАДИ'!N1421</f>
        <v>1949.5</v>
      </c>
    </row>
    <row r="1422" spans="1:6" ht="15.75" x14ac:dyDescent="0.25">
      <c r="A1422" s="38">
        <v>22</v>
      </c>
      <c r="B1422" s="34" t="s">
        <v>984</v>
      </c>
      <c r="C1422" s="18" t="s">
        <v>445</v>
      </c>
      <c r="D1422" s="32" t="s">
        <v>2533</v>
      </c>
      <c r="E1422" s="5">
        <f>'ПДФО ГРОМАДИ'!M1422</f>
        <v>0</v>
      </c>
      <c r="F1422" s="5">
        <f>'ПДФО ГРОМАДИ'!N1422</f>
        <v>3166.4</v>
      </c>
    </row>
    <row r="1423" spans="1:6" ht="15.75" x14ac:dyDescent="0.25">
      <c r="A1423" s="38">
        <v>22</v>
      </c>
      <c r="B1423" s="34" t="s">
        <v>984</v>
      </c>
      <c r="C1423" s="18" t="s">
        <v>446</v>
      </c>
      <c r="D1423" s="32" t="s">
        <v>2534</v>
      </c>
      <c r="E1423" s="5">
        <f>'ПДФО ГРОМАДИ'!M1423</f>
        <v>0</v>
      </c>
      <c r="F1423" s="5">
        <f>'ПДФО ГРОМАДИ'!N1423</f>
        <v>12910</v>
      </c>
    </row>
    <row r="1424" spans="1:6" ht="15.75" x14ac:dyDescent="0.25">
      <c r="A1424" s="38">
        <v>22</v>
      </c>
      <c r="B1424" s="34" t="s">
        <v>983</v>
      </c>
      <c r="C1424" s="18" t="s">
        <v>642</v>
      </c>
      <c r="D1424" s="32" t="s">
        <v>2535</v>
      </c>
      <c r="E1424" s="5">
        <f>'ПДФО ГРОМАДИ'!M1424</f>
        <v>0</v>
      </c>
      <c r="F1424" s="5">
        <f>'ПДФО ГРОМАДИ'!N1424</f>
        <v>16750.5</v>
      </c>
    </row>
    <row r="1425" spans="1:6" ht="15.75" x14ac:dyDescent="0.25">
      <c r="A1425" s="38">
        <v>22</v>
      </c>
      <c r="B1425" s="34" t="s">
        <v>984</v>
      </c>
      <c r="C1425" s="18" t="s">
        <v>643</v>
      </c>
      <c r="D1425" s="32" t="s">
        <v>2536</v>
      </c>
      <c r="E1425" s="5">
        <f>'ПДФО ГРОМАДИ'!M1425</f>
        <v>0</v>
      </c>
      <c r="F1425" s="5">
        <f>'ПДФО ГРОМАДИ'!N1425</f>
        <v>9414.6</v>
      </c>
    </row>
    <row r="1426" spans="1:6" ht="15.75" x14ac:dyDescent="0.25">
      <c r="A1426" s="38">
        <v>22</v>
      </c>
      <c r="B1426" s="34" t="s">
        <v>985</v>
      </c>
      <c r="C1426" s="18" t="s">
        <v>644</v>
      </c>
      <c r="D1426" s="32" t="s">
        <v>2537</v>
      </c>
      <c r="E1426" s="5">
        <f>'ПДФО ГРОМАДИ'!M1426</f>
        <v>0</v>
      </c>
      <c r="F1426" s="5">
        <f>'ПДФО ГРОМАДИ'!N1426</f>
        <v>5772.8</v>
      </c>
    </row>
    <row r="1427" spans="1:6" ht="15.75" x14ac:dyDescent="0.25">
      <c r="A1427" s="38">
        <v>22</v>
      </c>
      <c r="B1427" s="34" t="s">
        <v>983</v>
      </c>
      <c r="C1427" s="18" t="s">
        <v>645</v>
      </c>
      <c r="D1427" s="32" t="s">
        <v>2538</v>
      </c>
      <c r="E1427" s="5">
        <f>'ПДФО ГРОМАДИ'!M1427</f>
        <v>0</v>
      </c>
      <c r="F1427" s="5">
        <f>'ПДФО ГРОМАДИ'!N1427</f>
        <v>0</v>
      </c>
    </row>
    <row r="1428" spans="1:6" ht="15.75" x14ac:dyDescent="0.25">
      <c r="A1428" s="38">
        <v>22</v>
      </c>
      <c r="B1428" s="34" t="s">
        <v>984</v>
      </c>
      <c r="C1428" s="18" t="s">
        <v>646</v>
      </c>
      <c r="D1428" s="32" t="s">
        <v>2539</v>
      </c>
      <c r="E1428" s="5">
        <f>'ПДФО ГРОМАДИ'!M1428</f>
        <v>0</v>
      </c>
      <c r="F1428" s="5">
        <f>'ПДФО ГРОМАДИ'!N1428</f>
        <v>308.60000000000002</v>
      </c>
    </row>
    <row r="1429" spans="1:6" ht="15.75" x14ac:dyDescent="0.25">
      <c r="A1429" s="38">
        <v>22</v>
      </c>
      <c r="B1429" s="34" t="s">
        <v>985</v>
      </c>
      <c r="C1429" s="18" t="s">
        <v>647</v>
      </c>
      <c r="D1429" s="32" t="s">
        <v>2540</v>
      </c>
      <c r="E1429" s="5">
        <f>'ПДФО ГРОМАДИ'!M1429</f>
        <v>0</v>
      </c>
      <c r="F1429" s="5">
        <f>'ПДФО ГРОМАДИ'!N1429</f>
        <v>3622.1</v>
      </c>
    </row>
    <row r="1430" spans="1:6" ht="15.75" x14ac:dyDescent="0.25">
      <c r="A1430" s="38">
        <v>22</v>
      </c>
      <c r="B1430" s="34" t="s">
        <v>985</v>
      </c>
      <c r="C1430" s="18" t="s">
        <v>717</v>
      </c>
      <c r="D1430" s="32" t="s">
        <v>2541</v>
      </c>
      <c r="E1430" s="5">
        <f>'ПДФО ГРОМАДИ'!M1430</f>
        <v>0</v>
      </c>
      <c r="F1430" s="5">
        <f>'ПДФО ГРОМАДИ'!N1430</f>
        <v>7314.2</v>
      </c>
    </row>
    <row r="1431" spans="1:6" ht="15.75" x14ac:dyDescent="0.25">
      <c r="A1431" s="38">
        <v>22</v>
      </c>
      <c r="B1431" s="34" t="s">
        <v>985</v>
      </c>
      <c r="C1431" s="18" t="s">
        <v>718</v>
      </c>
      <c r="D1431" s="32" t="s">
        <v>2542</v>
      </c>
      <c r="E1431" s="5">
        <f>'ПДФО ГРОМАДИ'!M1431</f>
        <v>0</v>
      </c>
      <c r="F1431" s="5">
        <f>'ПДФО ГРОМАДИ'!N1431</f>
        <v>4238.8999999999996</v>
      </c>
    </row>
    <row r="1432" spans="1:6" ht="15.75" x14ac:dyDescent="0.25">
      <c r="A1432" s="38">
        <v>22</v>
      </c>
      <c r="B1432" s="34" t="s">
        <v>984</v>
      </c>
      <c r="C1432" s="18" t="s">
        <v>719</v>
      </c>
      <c r="D1432" s="32" t="s">
        <v>2543</v>
      </c>
      <c r="E1432" s="5">
        <f>'ПДФО ГРОМАДИ'!M1432</f>
        <v>0</v>
      </c>
      <c r="F1432" s="5">
        <f>'ПДФО ГРОМАДИ'!N1432</f>
        <v>8025.9</v>
      </c>
    </row>
    <row r="1433" spans="1:6" ht="15.75" x14ac:dyDescent="0.25">
      <c r="A1433" s="38">
        <v>22</v>
      </c>
      <c r="B1433" s="34" t="s">
        <v>985</v>
      </c>
      <c r="C1433" s="18" t="s">
        <v>720</v>
      </c>
      <c r="D1433" s="32" t="s">
        <v>2544</v>
      </c>
      <c r="E1433" s="5">
        <f>'ПДФО ГРОМАДИ'!M1433</f>
        <v>0</v>
      </c>
      <c r="F1433" s="5">
        <f>'ПДФО ГРОМАДИ'!N1433</f>
        <v>11519.5</v>
      </c>
    </row>
    <row r="1434" spans="1:6" ht="15.75" x14ac:dyDescent="0.25">
      <c r="A1434" s="38">
        <v>22</v>
      </c>
      <c r="B1434" s="34" t="s">
        <v>984</v>
      </c>
      <c r="C1434" s="18" t="s">
        <v>721</v>
      </c>
      <c r="D1434" s="32" t="s">
        <v>2545</v>
      </c>
      <c r="E1434" s="5">
        <f>'ПДФО ГРОМАДИ'!M1434</f>
        <v>3357.8</v>
      </c>
      <c r="F1434" s="5">
        <f>'ПДФО ГРОМАДИ'!N1434</f>
        <v>0</v>
      </c>
    </row>
    <row r="1435" spans="1:6" ht="15.75" x14ac:dyDescent="0.25">
      <c r="A1435" s="38">
        <v>22</v>
      </c>
      <c r="B1435" s="34" t="s">
        <v>985</v>
      </c>
      <c r="C1435" s="18">
        <v>22540000000</v>
      </c>
      <c r="D1435" s="32" t="s">
        <v>2546</v>
      </c>
      <c r="E1435" s="5">
        <f>'ПДФО ГРОМАДИ'!M1435</f>
        <v>0</v>
      </c>
      <c r="F1435" s="5">
        <f>'ПДФО ГРОМАДИ'!N1435</f>
        <v>10496.1</v>
      </c>
    </row>
    <row r="1436" spans="1:6" ht="15.75" x14ac:dyDescent="0.25">
      <c r="A1436" s="38">
        <v>22</v>
      </c>
      <c r="B1436" s="34" t="s">
        <v>984</v>
      </c>
      <c r="C1436" s="18">
        <v>22543000000</v>
      </c>
      <c r="D1436" s="32" t="s">
        <v>2547</v>
      </c>
      <c r="E1436" s="5">
        <f>'ПДФО ГРОМАДИ'!M1436</f>
        <v>0</v>
      </c>
      <c r="F1436" s="5">
        <f>'ПДФО ГРОМАДИ'!N1436</f>
        <v>1726.1</v>
      </c>
    </row>
    <row r="1437" spans="1:6" ht="15.75" x14ac:dyDescent="0.25">
      <c r="A1437" s="38">
        <v>22</v>
      </c>
      <c r="B1437" s="34" t="s">
        <v>985</v>
      </c>
      <c r="C1437" s="18">
        <v>22544000000</v>
      </c>
      <c r="D1437" s="32" t="s">
        <v>2356</v>
      </c>
      <c r="E1437" s="5">
        <f>'ПДФО ГРОМАДИ'!M1437</f>
        <v>0</v>
      </c>
      <c r="F1437" s="5">
        <f>'ПДФО ГРОМАДИ'!N1437</f>
        <v>5140.3999999999996</v>
      </c>
    </row>
    <row r="1438" spans="1:6" ht="15.75" x14ac:dyDescent="0.25">
      <c r="A1438" s="38">
        <v>22</v>
      </c>
      <c r="B1438" s="34" t="s">
        <v>986</v>
      </c>
      <c r="C1438" s="18">
        <v>22545000000</v>
      </c>
      <c r="D1438" s="32" t="s">
        <v>2548</v>
      </c>
      <c r="E1438" s="5">
        <f>'ПДФО ГРОМАДИ'!M1438</f>
        <v>0</v>
      </c>
      <c r="F1438" s="5">
        <f>'ПДФО ГРОМАДИ'!N1438</f>
        <v>8368.7999999999993</v>
      </c>
    </row>
    <row r="1439" spans="1:6" ht="15.75" x14ac:dyDescent="0.25">
      <c r="A1439" s="38">
        <v>22</v>
      </c>
      <c r="B1439" s="34" t="s">
        <v>986</v>
      </c>
      <c r="C1439" s="18">
        <v>22546000000</v>
      </c>
      <c r="D1439" s="32" t="s">
        <v>2549</v>
      </c>
      <c r="E1439" s="5">
        <f>'ПДФО ГРОМАДИ'!M1439</f>
        <v>75067.399999999994</v>
      </c>
      <c r="F1439" s="5">
        <f>'ПДФО ГРОМАДИ'!N1439</f>
        <v>0</v>
      </c>
    </row>
    <row r="1440" spans="1:6" ht="15.75" x14ac:dyDescent="0.25">
      <c r="A1440" s="38">
        <v>22</v>
      </c>
      <c r="B1440" s="34" t="s">
        <v>984</v>
      </c>
      <c r="C1440" s="18">
        <v>22547000000</v>
      </c>
      <c r="D1440" s="32" t="s">
        <v>2550</v>
      </c>
      <c r="E1440" s="5">
        <f>'ПДФО ГРОМАДИ'!M1440</f>
        <v>0</v>
      </c>
      <c r="F1440" s="5">
        <f>'ПДФО ГРОМАДИ'!N1440</f>
        <v>8913.7000000000007</v>
      </c>
    </row>
    <row r="1441" spans="1:6" ht="15.75" x14ac:dyDescent="0.25">
      <c r="A1441" s="38">
        <v>22</v>
      </c>
      <c r="B1441" s="34" t="s">
        <v>984</v>
      </c>
      <c r="C1441" s="18">
        <v>22548000000</v>
      </c>
      <c r="D1441" s="32" t="s">
        <v>2551</v>
      </c>
      <c r="E1441" s="5">
        <f>'ПДФО ГРОМАДИ'!M1441</f>
        <v>0</v>
      </c>
      <c r="F1441" s="5">
        <f>'ПДФО ГРОМАДИ'!N1441</f>
        <v>3535.5</v>
      </c>
    </row>
    <row r="1442" spans="1:6" ht="15.75" x14ac:dyDescent="0.25">
      <c r="A1442" s="38">
        <v>22</v>
      </c>
      <c r="B1442" s="34" t="s">
        <v>984</v>
      </c>
      <c r="C1442" s="18">
        <v>22549000000</v>
      </c>
      <c r="D1442" s="32" t="s">
        <v>2833</v>
      </c>
      <c r="E1442" s="5">
        <f>'ПДФО ГРОМАДИ'!M1442</f>
        <v>615.70000000000005</v>
      </c>
      <c r="F1442" s="5">
        <f>'ПДФО ГРОМАДИ'!N1442</f>
        <v>0</v>
      </c>
    </row>
    <row r="1443" spans="1:6" ht="15.75" x14ac:dyDescent="0.25">
      <c r="A1443" s="38">
        <v>22</v>
      </c>
      <c r="B1443" s="34" t="s">
        <v>986</v>
      </c>
      <c r="C1443" s="18">
        <v>22552000000</v>
      </c>
      <c r="D1443" s="32" t="s">
        <v>2552</v>
      </c>
      <c r="E1443" s="5">
        <f>'ПДФО ГРОМАДИ'!M1443</f>
        <v>0</v>
      </c>
      <c r="F1443" s="5">
        <f>'ПДФО ГРОМАДИ'!N1443</f>
        <v>0</v>
      </c>
    </row>
    <row r="1444" spans="1:6" ht="15.75" x14ac:dyDescent="0.25">
      <c r="A1444" s="38">
        <v>22</v>
      </c>
      <c r="B1444" s="34" t="s">
        <v>985</v>
      </c>
      <c r="C1444" s="18">
        <v>22553000000</v>
      </c>
      <c r="D1444" s="32" t="s">
        <v>2553</v>
      </c>
      <c r="E1444" s="5">
        <f>'ПДФО ГРОМАДИ'!M1444</f>
        <v>0</v>
      </c>
      <c r="F1444" s="5">
        <f>'ПДФО ГРОМАДИ'!N1444</f>
        <v>14303.6</v>
      </c>
    </row>
    <row r="1445" spans="1:6" ht="15.75" x14ac:dyDescent="0.25">
      <c r="A1445" s="38">
        <v>22</v>
      </c>
      <c r="B1445" s="34" t="s">
        <v>983</v>
      </c>
      <c r="C1445" s="18">
        <v>22554000000</v>
      </c>
      <c r="D1445" s="32" t="s">
        <v>2554</v>
      </c>
      <c r="E1445" s="5">
        <f>'ПДФО ГРОМАДИ'!M1445</f>
        <v>0</v>
      </c>
      <c r="F1445" s="5">
        <f>'ПДФО ГРОМАДИ'!N1445</f>
        <v>12362.7</v>
      </c>
    </row>
    <row r="1446" spans="1:6" ht="15.75" x14ac:dyDescent="0.25">
      <c r="A1446" s="38">
        <v>22</v>
      </c>
      <c r="B1446" s="34" t="s">
        <v>985</v>
      </c>
      <c r="C1446" s="18">
        <v>22555000000</v>
      </c>
      <c r="D1446" s="32" t="s">
        <v>2555</v>
      </c>
      <c r="E1446" s="5">
        <f>'ПДФО ГРОМАДИ'!M1446</f>
        <v>0</v>
      </c>
      <c r="F1446" s="5">
        <f>'ПДФО ГРОМАДИ'!N1446</f>
        <v>5611.5</v>
      </c>
    </row>
    <row r="1447" spans="1:6" ht="15.75" x14ac:dyDescent="0.25">
      <c r="A1447" s="38">
        <v>22</v>
      </c>
      <c r="B1447" s="34" t="s">
        <v>984</v>
      </c>
      <c r="C1447" s="18">
        <v>22556000000</v>
      </c>
      <c r="D1447" s="32" t="s">
        <v>2556</v>
      </c>
      <c r="E1447" s="5">
        <f>'ПДФО ГРОМАДИ'!M1447</f>
        <v>0</v>
      </c>
      <c r="F1447" s="5">
        <f>'ПДФО ГРОМАДИ'!N1447</f>
        <v>2181.6999999999998</v>
      </c>
    </row>
    <row r="1448" spans="1:6" ht="15.75" x14ac:dyDescent="0.25">
      <c r="A1448" s="38">
        <v>22</v>
      </c>
      <c r="B1448" s="34" t="s">
        <v>983</v>
      </c>
      <c r="C1448" s="18">
        <v>22557000000</v>
      </c>
      <c r="D1448" s="32" t="s">
        <v>2557</v>
      </c>
      <c r="E1448" s="5">
        <f>'ПДФО ГРОМАДИ'!M1448</f>
        <v>0</v>
      </c>
      <c r="F1448" s="5">
        <f>'ПДФО ГРОМАДИ'!N1448</f>
        <v>16774.8</v>
      </c>
    </row>
    <row r="1449" spans="1:6" ht="15.75" x14ac:dyDescent="0.25">
      <c r="A1449" s="38">
        <v>22</v>
      </c>
      <c r="B1449" s="34" t="s">
        <v>986</v>
      </c>
      <c r="C1449" s="18">
        <v>22558000000</v>
      </c>
      <c r="D1449" s="32" t="s">
        <v>2558</v>
      </c>
      <c r="E1449" s="5">
        <f>'ПДФО ГРОМАДИ'!M1449</f>
        <v>0</v>
      </c>
      <c r="F1449" s="5">
        <f>'ПДФО ГРОМАДИ'!N1449</f>
        <v>48477.2</v>
      </c>
    </row>
    <row r="1450" spans="1:6" ht="15.75" x14ac:dyDescent="0.25">
      <c r="A1450" s="38">
        <v>22</v>
      </c>
      <c r="B1450" s="34" t="s">
        <v>984</v>
      </c>
      <c r="C1450" s="18">
        <v>22559000000</v>
      </c>
      <c r="D1450" s="32" t="s">
        <v>2559</v>
      </c>
      <c r="E1450" s="5">
        <f>'ПДФО ГРОМАДИ'!M1450</f>
        <v>0</v>
      </c>
      <c r="F1450" s="5">
        <f>'ПДФО ГРОМАДИ'!N1450</f>
        <v>3052.5</v>
      </c>
    </row>
    <row r="1451" spans="1:6" ht="15.75" x14ac:dyDescent="0.25">
      <c r="A1451" s="38">
        <v>22</v>
      </c>
      <c r="B1451" s="34" t="s">
        <v>984</v>
      </c>
      <c r="C1451" s="18">
        <v>22560000000</v>
      </c>
      <c r="D1451" s="32" t="s">
        <v>2560</v>
      </c>
      <c r="E1451" s="5">
        <f>'ПДФО ГРОМАДИ'!M1451</f>
        <v>0</v>
      </c>
      <c r="F1451" s="5">
        <f>'ПДФО ГРОМАДИ'!N1451</f>
        <v>5169.7</v>
      </c>
    </row>
    <row r="1452" spans="1:6" ht="15.75" x14ac:dyDescent="0.25">
      <c r="A1452" s="38">
        <v>22</v>
      </c>
      <c r="B1452" s="34" t="s">
        <v>984</v>
      </c>
      <c r="C1452" s="18">
        <v>22561000000</v>
      </c>
      <c r="D1452" s="32" t="s">
        <v>2561</v>
      </c>
      <c r="E1452" s="5">
        <f>'ПДФО ГРОМАДИ'!M1452</f>
        <v>0</v>
      </c>
      <c r="F1452" s="5">
        <f>'ПДФО ГРОМАДИ'!N1452</f>
        <v>10198.9</v>
      </c>
    </row>
    <row r="1453" spans="1:6" ht="15.75" x14ac:dyDescent="0.25">
      <c r="A1453" s="38">
        <v>22</v>
      </c>
      <c r="B1453" s="34" t="s">
        <v>984</v>
      </c>
      <c r="C1453" s="18">
        <v>22562000000</v>
      </c>
      <c r="D1453" s="32" t="s">
        <v>2562</v>
      </c>
      <c r="E1453" s="5">
        <f>'ПДФО ГРОМАДИ'!M1453</f>
        <v>0</v>
      </c>
      <c r="F1453" s="5">
        <f>'ПДФО ГРОМАДИ'!N1453</f>
        <v>2050.5</v>
      </c>
    </row>
    <row r="1454" spans="1:6" ht="15.75" x14ac:dyDescent="0.25">
      <c r="A1454" s="38">
        <v>22</v>
      </c>
      <c r="B1454" s="34" t="s">
        <v>985</v>
      </c>
      <c r="C1454" s="18">
        <v>22563000000</v>
      </c>
      <c r="D1454" s="32" t="s">
        <v>2563</v>
      </c>
      <c r="E1454" s="5">
        <f>'ПДФО ГРОМАДИ'!M1454</f>
        <v>0</v>
      </c>
      <c r="F1454" s="5">
        <f>'ПДФО ГРОМАДИ'!N1454</f>
        <v>7910.9</v>
      </c>
    </row>
    <row r="1455" spans="1:6" ht="15.75" x14ac:dyDescent="0.25">
      <c r="A1455" s="38">
        <v>22</v>
      </c>
      <c r="B1455" s="34" t="s">
        <v>986</v>
      </c>
      <c r="C1455" s="18">
        <v>22564000000</v>
      </c>
      <c r="D1455" s="32" t="s">
        <v>2564</v>
      </c>
      <c r="E1455" s="5">
        <f>'ПДФО ГРОМАДИ'!M1455</f>
        <v>91701.4</v>
      </c>
      <c r="F1455" s="5">
        <f>'ПДФО ГРОМАДИ'!N1455</f>
        <v>0</v>
      </c>
    </row>
    <row r="1456" spans="1:6" ht="15.75" x14ac:dyDescent="0.25">
      <c r="A1456" s="38">
        <v>22</v>
      </c>
      <c r="B1456" s="34" t="s">
        <v>986</v>
      </c>
      <c r="C1456" s="18">
        <v>22565000000</v>
      </c>
      <c r="D1456" s="32" t="s">
        <v>2565</v>
      </c>
      <c r="E1456" s="5">
        <f>'ПДФО ГРОМАДИ'!M1456</f>
        <v>0</v>
      </c>
      <c r="F1456" s="5">
        <f>'ПДФО ГРОМАДИ'!N1456</f>
        <v>0</v>
      </c>
    </row>
    <row r="1457" spans="1:6" ht="15.75" x14ac:dyDescent="0.25">
      <c r="A1457" s="38">
        <v>22</v>
      </c>
      <c r="B1457" s="34" t="s">
        <v>984</v>
      </c>
      <c r="C1457" s="18">
        <v>22566000000</v>
      </c>
      <c r="D1457" s="32" t="s">
        <v>2566</v>
      </c>
      <c r="E1457" s="5">
        <f>'ПДФО ГРОМАДИ'!M1457</f>
        <v>0</v>
      </c>
      <c r="F1457" s="5">
        <f>'ПДФО ГРОМАДИ'!N1457</f>
        <v>2620.3000000000002</v>
      </c>
    </row>
    <row r="1458" spans="1:6" ht="15.75" x14ac:dyDescent="0.25">
      <c r="A1458" s="38">
        <v>22</v>
      </c>
      <c r="B1458" s="34" t="s">
        <v>985</v>
      </c>
      <c r="C1458" s="18">
        <v>22567000000</v>
      </c>
      <c r="D1458" s="32" t="s">
        <v>2567</v>
      </c>
      <c r="E1458" s="5">
        <f>'ПДФО ГРОМАДИ'!M1458</f>
        <v>0</v>
      </c>
      <c r="F1458" s="5">
        <f>'ПДФО ГРОМАДИ'!N1458</f>
        <v>3702.3</v>
      </c>
    </row>
    <row r="1459" spans="1:6" ht="15.75" x14ac:dyDescent="0.25">
      <c r="A1459" s="36">
        <v>23</v>
      </c>
      <c r="B1459" s="17" t="s">
        <v>7</v>
      </c>
      <c r="C1459" s="17" t="s">
        <v>820</v>
      </c>
      <c r="D1459" s="11" t="s">
        <v>24</v>
      </c>
      <c r="E1459" s="11">
        <f>E1460+E1461+E1466</f>
        <v>155556.90000000002</v>
      </c>
      <c r="F1459" s="11">
        <f>F1460+F1461+F1466</f>
        <v>304088</v>
      </c>
    </row>
    <row r="1460" spans="1:6" ht="15.75" x14ac:dyDescent="0.25">
      <c r="A1460" s="38">
        <v>23</v>
      </c>
      <c r="B1460" s="34" t="s">
        <v>6</v>
      </c>
      <c r="C1460" s="18" t="s">
        <v>206</v>
      </c>
      <c r="D1460" s="32" t="s">
        <v>862</v>
      </c>
      <c r="E1460" s="5">
        <f>'ПДФО ОБЛАСНІ'!K25+'ПОДАТОК НА ПРИБУТОК'!K25</f>
        <v>0</v>
      </c>
      <c r="F1460" s="5">
        <f>'ПДФО ОБЛАСНІ'!L25+'ПОДАТОК НА ПРИБУТОК'!L25</f>
        <v>31901.599999999999</v>
      </c>
    </row>
    <row r="1461" spans="1:6" ht="15.75" x14ac:dyDescent="0.25">
      <c r="A1461" s="37">
        <v>23</v>
      </c>
      <c r="B1461" s="19" t="s">
        <v>5</v>
      </c>
      <c r="C1461" s="19" t="s">
        <v>821</v>
      </c>
      <c r="D1461" s="7" t="s">
        <v>2816</v>
      </c>
      <c r="E1461" s="7">
        <f>SUM(E1462:E1465)</f>
        <v>0</v>
      </c>
      <c r="F1461" s="7">
        <f>SUM(F1462:F1465)</f>
        <v>0</v>
      </c>
    </row>
    <row r="1462" spans="1:6" ht="15.75" x14ac:dyDescent="0.25">
      <c r="A1462" s="38">
        <v>23</v>
      </c>
      <c r="B1462" s="34" t="s">
        <v>4</v>
      </c>
      <c r="C1462" s="18" t="s">
        <v>207</v>
      </c>
      <c r="D1462" s="32" t="s">
        <v>963</v>
      </c>
      <c r="E1462" s="5">
        <f>'ПДФО ГРОМАДИ'!M1462</f>
        <v>0</v>
      </c>
      <c r="F1462" s="5">
        <f>'ПДФО ГРОМАДИ'!N1462</f>
        <v>0</v>
      </c>
    </row>
    <row r="1463" spans="1:6" ht="15.75" x14ac:dyDescent="0.25">
      <c r="A1463" s="38">
        <v>23</v>
      </c>
      <c r="B1463" s="34" t="s">
        <v>4</v>
      </c>
      <c r="C1463" s="18" t="s">
        <v>208</v>
      </c>
      <c r="D1463" s="32" t="s">
        <v>964</v>
      </c>
      <c r="E1463" s="5">
        <f>'ПДФО ГРОМАДИ'!M1463</f>
        <v>0</v>
      </c>
      <c r="F1463" s="5">
        <f>'ПДФО ГРОМАДИ'!N1463</f>
        <v>0</v>
      </c>
    </row>
    <row r="1464" spans="1:6" ht="15.75" x14ac:dyDescent="0.25">
      <c r="A1464" s="38">
        <v>23</v>
      </c>
      <c r="B1464" s="34" t="s">
        <v>4</v>
      </c>
      <c r="C1464" s="18" t="s">
        <v>209</v>
      </c>
      <c r="D1464" s="32" t="s">
        <v>965</v>
      </c>
      <c r="E1464" s="5">
        <f>'ПДФО ГРОМАДИ'!M1464</f>
        <v>0</v>
      </c>
      <c r="F1464" s="5">
        <f>'ПДФО ГРОМАДИ'!N1464</f>
        <v>0</v>
      </c>
    </row>
    <row r="1465" spans="1:6" ht="15.75" x14ac:dyDescent="0.25">
      <c r="A1465" s="38">
        <v>23</v>
      </c>
      <c r="B1465" s="34" t="s">
        <v>4</v>
      </c>
      <c r="C1465" s="18" t="s">
        <v>210</v>
      </c>
      <c r="D1465" s="32" t="s">
        <v>966</v>
      </c>
      <c r="E1465" s="5">
        <f>'ПДФО ГРОМАДИ'!M1465</f>
        <v>0</v>
      </c>
      <c r="F1465" s="5">
        <f>'ПДФО ГРОМАДИ'!N1465</f>
        <v>0</v>
      </c>
    </row>
    <row r="1466" spans="1:6" ht="15.75" x14ac:dyDescent="0.25">
      <c r="A1466" s="37">
        <v>23</v>
      </c>
      <c r="B1466" s="19" t="s">
        <v>28</v>
      </c>
      <c r="C1466" s="19" t="s">
        <v>822</v>
      </c>
      <c r="D1466" s="20" t="s">
        <v>2789</v>
      </c>
      <c r="E1466" s="7">
        <f>SUM(E1467:E1532)</f>
        <v>155556.90000000002</v>
      </c>
      <c r="F1466" s="7">
        <f>SUM(F1467:F1532)</f>
        <v>272186.40000000002</v>
      </c>
    </row>
    <row r="1467" spans="1:6" ht="15.75" x14ac:dyDescent="0.25">
      <c r="A1467" s="38">
        <v>23</v>
      </c>
      <c r="B1467" s="34" t="s">
        <v>984</v>
      </c>
      <c r="C1467" s="18" t="s">
        <v>211</v>
      </c>
      <c r="D1467" s="32" t="s">
        <v>2568</v>
      </c>
      <c r="E1467" s="5">
        <f>'ПДФО ГРОМАДИ'!M1467</f>
        <v>0</v>
      </c>
      <c r="F1467" s="5">
        <f>'ПДФО ГРОМАДИ'!N1467</f>
        <v>9280.6</v>
      </c>
    </row>
    <row r="1468" spans="1:6" ht="15.75" x14ac:dyDescent="0.25">
      <c r="A1468" s="38">
        <v>23</v>
      </c>
      <c r="B1468" s="34" t="s">
        <v>985</v>
      </c>
      <c r="C1468" s="18" t="s">
        <v>212</v>
      </c>
      <c r="D1468" s="32" t="s">
        <v>2569</v>
      </c>
      <c r="E1468" s="5">
        <f>'ПДФО ГРОМАДИ'!M1468</f>
        <v>3954.3</v>
      </c>
      <c r="F1468" s="5">
        <f>'ПДФО ГРОМАДИ'!N1468</f>
        <v>0</v>
      </c>
    </row>
    <row r="1469" spans="1:6" ht="15.75" x14ac:dyDescent="0.25">
      <c r="A1469" s="38">
        <v>23</v>
      </c>
      <c r="B1469" s="34" t="s">
        <v>984</v>
      </c>
      <c r="C1469" s="18" t="s">
        <v>213</v>
      </c>
      <c r="D1469" s="32" t="s">
        <v>2570</v>
      </c>
      <c r="E1469" s="5">
        <f>'ПДФО ГРОМАДИ'!M1469</f>
        <v>0</v>
      </c>
      <c r="F1469" s="5">
        <f>'ПДФО ГРОМАДИ'!N1469</f>
        <v>914.9</v>
      </c>
    </row>
    <row r="1470" spans="1:6" ht="15.75" x14ac:dyDescent="0.25">
      <c r="A1470" s="38">
        <v>23</v>
      </c>
      <c r="B1470" s="34" t="s">
        <v>983</v>
      </c>
      <c r="C1470" s="18" t="s">
        <v>447</v>
      </c>
      <c r="D1470" s="32" t="s">
        <v>2571</v>
      </c>
      <c r="E1470" s="5">
        <f>'ПДФО ГРОМАДИ'!M1470</f>
        <v>0</v>
      </c>
      <c r="F1470" s="5">
        <f>'ПДФО ГРОМАДИ'!N1470</f>
        <v>6962.5</v>
      </c>
    </row>
    <row r="1471" spans="1:6" s="75" customFormat="1" ht="15.75" x14ac:dyDescent="0.25">
      <c r="A1471" s="38">
        <v>23</v>
      </c>
      <c r="B1471" s="34" t="s">
        <v>985</v>
      </c>
      <c r="C1471" s="18" t="s">
        <v>448</v>
      </c>
      <c r="D1471" s="32" t="s">
        <v>2572</v>
      </c>
      <c r="E1471" s="5">
        <f>'ПДФО ГРОМАДИ'!M1471</f>
        <v>0</v>
      </c>
      <c r="F1471" s="5">
        <f>'ПДФО ГРОМАДИ'!N1471</f>
        <v>0</v>
      </c>
    </row>
    <row r="1472" spans="1:6" ht="15.75" x14ac:dyDescent="0.25">
      <c r="A1472" s="38">
        <v>23</v>
      </c>
      <c r="B1472" s="34" t="s">
        <v>984</v>
      </c>
      <c r="C1472" s="18" t="s">
        <v>449</v>
      </c>
      <c r="D1472" s="32" t="s">
        <v>2573</v>
      </c>
      <c r="E1472" s="5">
        <f>'ПДФО ГРОМАДИ'!M1472</f>
        <v>0</v>
      </c>
      <c r="F1472" s="5">
        <f>'ПДФО ГРОМАДИ'!N1472</f>
        <v>2389.6999999999998</v>
      </c>
    </row>
    <row r="1473" spans="1:6" ht="15.75" x14ac:dyDescent="0.25">
      <c r="A1473" s="38">
        <v>23</v>
      </c>
      <c r="B1473" s="34" t="s">
        <v>984</v>
      </c>
      <c r="C1473" s="18" t="s">
        <v>501</v>
      </c>
      <c r="D1473" s="32" t="s">
        <v>2574</v>
      </c>
      <c r="E1473" s="5">
        <f>'ПДФО ГРОМАДИ'!M1473</f>
        <v>0</v>
      </c>
      <c r="F1473" s="5">
        <f>'ПДФО ГРОМАДИ'!N1473</f>
        <v>3697.2</v>
      </c>
    </row>
    <row r="1474" spans="1:6" ht="15.75" x14ac:dyDescent="0.25">
      <c r="A1474" s="38">
        <v>23</v>
      </c>
      <c r="B1474" s="34" t="s">
        <v>984</v>
      </c>
      <c r="C1474" s="18" t="s">
        <v>502</v>
      </c>
      <c r="D1474" s="32" t="s">
        <v>2575</v>
      </c>
      <c r="E1474" s="5">
        <f>'ПДФО ГРОМАДИ'!M1474</f>
        <v>0</v>
      </c>
      <c r="F1474" s="5">
        <f>'ПДФО ГРОМАДИ'!N1474</f>
        <v>7762.5</v>
      </c>
    </row>
    <row r="1475" spans="1:6" ht="15.75" x14ac:dyDescent="0.25">
      <c r="A1475" s="38">
        <v>23</v>
      </c>
      <c r="B1475" s="34" t="s">
        <v>983</v>
      </c>
      <c r="C1475" s="18" t="s">
        <v>503</v>
      </c>
      <c r="D1475" s="32" t="s">
        <v>2576</v>
      </c>
      <c r="E1475" s="5">
        <f>'ПДФО ГРОМАДИ'!M1475</f>
        <v>0</v>
      </c>
      <c r="F1475" s="5">
        <f>'ПДФО ГРОМАДИ'!N1475</f>
        <v>0</v>
      </c>
    </row>
    <row r="1476" spans="1:6" s="75" customFormat="1" ht="15.75" x14ac:dyDescent="0.25">
      <c r="A1476" s="38">
        <v>23</v>
      </c>
      <c r="B1476" s="34" t="s">
        <v>984</v>
      </c>
      <c r="C1476" s="18" t="s">
        <v>504</v>
      </c>
      <c r="D1476" s="32" t="s">
        <v>2577</v>
      </c>
      <c r="E1476" s="5">
        <f>'ПДФО ГРОМАДИ'!M1476</f>
        <v>29502.9</v>
      </c>
      <c r="F1476" s="5">
        <f>'ПДФО ГРОМАДИ'!N1476</f>
        <v>0</v>
      </c>
    </row>
    <row r="1477" spans="1:6" ht="15.75" x14ac:dyDescent="0.25">
      <c r="A1477" s="38">
        <v>23</v>
      </c>
      <c r="B1477" s="34" t="s">
        <v>984</v>
      </c>
      <c r="C1477" s="18" t="s">
        <v>648</v>
      </c>
      <c r="D1477" s="32" t="s">
        <v>2578</v>
      </c>
      <c r="E1477" s="5">
        <f>'ПДФО ГРОМАДИ'!M1477</f>
        <v>0</v>
      </c>
      <c r="F1477" s="5">
        <f>'ПДФО ГРОМАДИ'!N1477</f>
        <v>5379.9</v>
      </c>
    </row>
    <row r="1478" spans="1:6" ht="15.75" x14ac:dyDescent="0.25">
      <c r="A1478" s="38">
        <v>23</v>
      </c>
      <c r="B1478" s="34" t="s">
        <v>983</v>
      </c>
      <c r="C1478" s="18" t="s">
        <v>649</v>
      </c>
      <c r="D1478" s="32" t="s">
        <v>2579</v>
      </c>
      <c r="E1478" s="5">
        <f>'ПДФО ГРОМАДИ'!M1478</f>
        <v>0</v>
      </c>
      <c r="F1478" s="5">
        <f>'ПДФО ГРОМАДИ'!N1478</f>
        <v>1357.5</v>
      </c>
    </row>
    <row r="1479" spans="1:6" ht="15.75" x14ac:dyDescent="0.25">
      <c r="A1479" s="38">
        <v>23</v>
      </c>
      <c r="B1479" s="34" t="s">
        <v>983</v>
      </c>
      <c r="C1479" s="18" t="s">
        <v>650</v>
      </c>
      <c r="D1479" s="32" t="s">
        <v>2580</v>
      </c>
      <c r="E1479" s="5">
        <f>'ПДФО ГРОМАДИ'!M1479</f>
        <v>0</v>
      </c>
      <c r="F1479" s="5">
        <f>'ПДФО ГРОМАДИ'!N1479</f>
        <v>4941.7</v>
      </c>
    </row>
    <row r="1480" spans="1:6" ht="15.75" x14ac:dyDescent="0.25">
      <c r="A1480" s="38">
        <v>23</v>
      </c>
      <c r="B1480" s="34" t="s">
        <v>984</v>
      </c>
      <c r="C1480" s="18" t="s">
        <v>651</v>
      </c>
      <c r="D1480" s="32" t="s">
        <v>2581</v>
      </c>
      <c r="E1480" s="5">
        <f>'ПДФО ГРОМАДИ'!M1480</f>
        <v>128.9</v>
      </c>
      <c r="F1480" s="5">
        <f>'ПДФО ГРОМАДИ'!N1480</f>
        <v>0</v>
      </c>
    </row>
    <row r="1481" spans="1:6" ht="15.75" x14ac:dyDescent="0.25">
      <c r="A1481" s="38">
        <v>23</v>
      </c>
      <c r="B1481" s="34" t="s">
        <v>984</v>
      </c>
      <c r="C1481" s="18" t="s">
        <v>652</v>
      </c>
      <c r="D1481" s="32" t="s">
        <v>2582</v>
      </c>
      <c r="E1481" s="5">
        <f>'ПДФО ГРОМАДИ'!M1481</f>
        <v>0</v>
      </c>
      <c r="F1481" s="5">
        <f>'ПДФО ГРОМАДИ'!N1481</f>
        <v>1707.5</v>
      </c>
    </row>
    <row r="1482" spans="1:6" ht="15.75" x14ac:dyDescent="0.25">
      <c r="A1482" s="38">
        <v>23</v>
      </c>
      <c r="B1482" s="34" t="s">
        <v>984</v>
      </c>
      <c r="C1482" s="18" t="s">
        <v>653</v>
      </c>
      <c r="D1482" s="32" t="s">
        <v>2583</v>
      </c>
      <c r="E1482" s="5">
        <f>'ПДФО ГРОМАДИ'!M1482</f>
        <v>304</v>
      </c>
      <c r="F1482" s="5">
        <f>'ПДФО ГРОМАДИ'!N1482</f>
        <v>0</v>
      </c>
    </row>
    <row r="1483" spans="1:6" ht="15.75" x14ac:dyDescent="0.25">
      <c r="A1483" s="38">
        <v>23</v>
      </c>
      <c r="B1483" s="34" t="s">
        <v>984</v>
      </c>
      <c r="C1483" s="18" t="s">
        <v>654</v>
      </c>
      <c r="D1483" s="32" t="s">
        <v>2584</v>
      </c>
      <c r="E1483" s="5">
        <f>'ПДФО ГРОМАДИ'!M1483</f>
        <v>0</v>
      </c>
      <c r="F1483" s="5">
        <f>'ПДФО ГРОМАДИ'!N1483</f>
        <v>1325.5</v>
      </c>
    </row>
    <row r="1484" spans="1:6" ht="15.75" x14ac:dyDescent="0.25">
      <c r="A1484" s="38">
        <v>23</v>
      </c>
      <c r="B1484" s="34" t="s">
        <v>984</v>
      </c>
      <c r="C1484" s="18" t="s">
        <v>655</v>
      </c>
      <c r="D1484" s="32" t="s">
        <v>2585</v>
      </c>
      <c r="E1484" s="5">
        <f>'ПДФО ГРОМАДИ'!M1484</f>
        <v>0</v>
      </c>
      <c r="F1484" s="5">
        <f>'ПДФО ГРОМАДИ'!N1484</f>
        <v>2612.1999999999998</v>
      </c>
    </row>
    <row r="1485" spans="1:6" ht="15.75" x14ac:dyDescent="0.25">
      <c r="A1485" s="38">
        <v>23</v>
      </c>
      <c r="B1485" s="34" t="s">
        <v>984</v>
      </c>
      <c r="C1485" s="18" t="s">
        <v>656</v>
      </c>
      <c r="D1485" s="32" t="s">
        <v>2586</v>
      </c>
      <c r="E1485" s="5">
        <f>'ПДФО ГРОМАДИ'!M1485</f>
        <v>0</v>
      </c>
      <c r="F1485" s="5">
        <f>'ПДФО ГРОМАДИ'!N1485</f>
        <v>2176.1999999999998</v>
      </c>
    </row>
    <row r="1486" spans="1:6" ht="15.75" x14ac:dyDescent="0.25">
      <c r="A1486" s="38">
        <v>23</v>
      </c>
      <c r="B1486" s="34" t="s">
        <v>984</v>
      </c>
      <c r="C1486" s="18" t="s">
        <v>657</v>
      </c>
      <c r="D1486" s="32" t="s">
        <v>2587</v>
      </c>
      <c r="E1486" s="5">
        <f>'ПДФО ГРОМАДИ'!M1486</f>
        <v>230.1</v>
      </c>
      <c r="F1486" s="5">
        <f>'ПДФО ГРОМАДИ'!N1486</f>
        <v>0</v>
      </c>
    </row>
    <row r="1487" spans="1:6" ht="15.75" x14ac:dyDescent="0.25">
      <c r="A1487" s="38">
        <v>23</v>
      </c>
      <c r="B1487" s="34" t="s">
        <v>984</v>
      </c>
      <c r="C1487" s="18" t="s">
        <v>722</v>
      </c>
      <c r="D1487" s="32" t="s">
        <v>1631</v>
      </c>
      <c r="E1487" s="5">
        <f>'ПДФО ГРОМАДИ'!M1487</f>
        <v>0</v>
      </c>
      <c r="F1487" s="5">
        <f>'ПДФО ГРОМАДИ'!N1487</f>
        <v>2909.6</v>
      </c>
    </row>
    <row r="1488" spans="1:6" ht="15.75" x14ac:dyDescent="0.25">
      <c r="A1488" s="38">
        <v>23</v>
      </c>
      <c r="B1488" s="34" t="s">
        <v>985</v>
      </c>
      <c r="C1488" s="18" t="s">
        <v>723</v>
      </c>
      <c r="D1488" s="32" t="s">
        <v>2588</v>
      </c>
      <c r="E1488" s="5">
        <f>'ПДФО ГРОМАДИ'!M1488</f>
        <v>0</v>
      </c>
      <c r="F1488" s="5">
        <f>'ПДФО ГРОМАДИ'!N1488</f>
        <v>1479</v>
      </c>
    </row>
    <row r="1489" spans="1:6" ht="15.75" x14ac:dyDescent="0.25">
      <c r="A1489" s="38">
        <v>23</v>
      </c>
      <c r="B1489" s="34" t="s">
        <v>984</v>
      </c>
      <c r="C1489" s="18">
        <v>23527000000</v>
      </c>
      <c r="D1489" s="32" t="s">
        <v>2589</v>
      </c>
      <c r="E1489" s="5">
        <f>'ПДФО ГРОМАДИ'!M1489</f>
        <v>0</v>
      </c>
      <c r="F1489" s="5">
        <f>'ПДФО ГРОМАДИ'!N1489</f>
        <v>0</v>
      </c>
    </row>
    <row r="1490" spans="1:6" ht="15.75" x14ac:dyDescent="0.25">
      <c r="A1490" s="38">
        <v>23</v>
      </c>
      <c r="B1490" s="34" t="s">
        <v>984</v>
      </c>
      <c r="C1490" s="18">
        <v>23529000000</v>
      </c>
      <c r="D1490" s="32" t="s">
        <v>2590</v>
      </c>
      <c r="E1490" s="5">
        <f>'ПДФО ГРОМАДИ'!M1490</f>
        <v>0</v>
      </c>
      <c r="F1490" s="5">
        <f>'ПДФО ГРОМАДИ'!N1490</f>
        <v>3535.2</v>
      </c>
    </row>
    <row r="1491" spans="1:6" ht="15.75" x14ac:dyDescent="0.25">
      <c r="A1491" s="38">
        <v>23</v>
      </c>
      <c r="B1491" s="34" t="s">
        <v>984</v>
      </c>
      <c r="C1491" s="18">
        <v>23530000000</v>
      </c>
      <c r="D1491" s="32" t="s">
        <v>2591</v>
      </c>
      <c r="E1491" s="5">
        <f>'ПДФО ГРОМАДИ'!M1491</f>
        <v>0</v>
      </c>
      <c r="F1491" s="5">
        <f>'ПДФО ГРОМАДИ'!N1491</f>
        <v>0</v>
      </c>
    </row>
    <row r="1492" spans="1:6" ht="15.75" x14ac:dyDescent="0.25">
      <c r="A1492" s="38">
        <v>23</v>
      </c>
      <c r="B1492" s="34" t="s">
        <v>984</v>
      </c>
      <c r="C1492" s="18">
        <v>23531000000</v>
      </c>
      <c r="D1492" s="32" t="s">
        <v>2592</v>
      </c>
      <c r="E1492" s="5">
        <f>'ПДФО ГРОМАДИ'!M1492</f>
        <v>0</v>
      </c>
      <c r="F1492" s="5">
        <f>'ПДФО ГРОМАДИ'!N1492</f>
        <v>967.7</v>
      </c>
    </row>
    <row r="1493" spans="1:6" ht="15.75" x14ac:dyDescent="0.25">
      <c r="A1493" s="38">
        <v>23</v>
      </c>
      <c r="B1493" s="34" t="s">
        <v>984</v>
      </c>
      <c r="C1493" s="18">
        <v>23532000000</v>
      </c>
      <c r="D1493" s="32" t="s">
        <v>2593</v>
      </c>
      <c r="E1493" s="5">
        <f>'ПДФО ГРОМАДИ'!M1493</f>
        <v>0</v>
      </c>
      <c r="F1493" s="5">
        <f>'ПДФО ГРОМАДИ'!N1493</f>
        <v>222</v>
      </c>
    </row>
    <row r="1494" spans="1:6" ht="15.75" x14ac:dyDescent="0.25">
      <c r="A1494" s="38">
        <v>23</v>
      </c>
      <c r="B1494" s="34" t="s">
        <v>985</v>
      </c>
      <c r="C1494" s="18">
        <v>23533000000</v>
      </c>
      <c r="D1494" s="32" t="s">
        <v>1864</v>
      </c>
      <c r="E1494" s="5">
        <f>'ПДФО ГРОМАДИ'!M1494</f>
        <v>0</v>
      </c>
      <c r="F1494" s="5">
        <f>'ПДФО ГРОМАДИ'!N1494</f>
        <v>9125.2999999999993</v>
      </c>
    </row>
    <row r="1495" spans="1:6" ht="15.75" x14ac:dyDescent="0.25">
      <c r="A1495" s="38">
        <v>23</v>
      </c>
      <c r="B1495" s="34" t="s">
        <v>984</v>
      </c>
      <c r="C1495" s="18">
        <v>23534000000</v>
      </c>
      <c r="D1495" s="32" t="s">
        <v>2594</v>
      </c>
      <c r="E1495" s="5">
        <f>'ПДФО ГРОМАДИ'!M1495</f>
        <v>0</v>
      </c>
      <c r="F1495" s="5">
        <f>'ПДФО ГРОМАДИ'!N1495</f>
        <v>1677.1</v>
      </c>
    </row>
    <row r="1496" spans="1:6" ht="15.75" x14ac:dyDescent="0.25">
      <c r="A1496" s="38">
        <v>23</v>
      </c>
      <c r="B1496" s="34" t="s">
        <v>984</v>
      </c>
      <c r="C1496" s="18">
        <v>23535000000</v>
      </c>
      <c r="D1496" s="32" t="s">
        <v>2595</v>
      </c>
      <c r="E1496" s="5">
        <f>'ПДФО ГРОМАДИ'!M1496</f>
        <v>0</v>
      </c>
      <c r="F1496" s="5">
        <f>'ПДФО ГРОМАДИ'!N1496</f>
        <v>6832.8</v>
      </c>
    </row>
    <row r="1497" spans="1:6" ht="15.75" x14ac:dyDescent="0.25">
      <c r="A1497" s="38">
        <v>23</v>
      </c>
      <c r="B1497" s="34" t="s">
        <v>984</v>
      </c>
      <c r="C1497" s="18">
        <v>23536000000</v>
      </c>
      <c r="D1497" s="32" t="s">
        <v>2596</v>
      </c>
      <c r="E1497" s="5">
        <f>'ПДФО ГРОМАДИ'!M1497</f>
        <v>0</v>
      </c>
      <c r="F1497" s="5">
        <f>'ПДФО ГРОМАДИ'!N1497</f>
        <v>4322.1000000000004</v>
      </c>
    </row>
    <row r="1498" spans="1:6" ht="15.75" x14ac:dyDescent="0.25">
      <c r="A1498" s="38">
        <v>23</v>
      </c>
      <c r="B1498" s="34" t="s">
        <v>984</v>
      </c>
      <c r="C1498" s="18">
        <v>23538000000</v>
      </c>
      <c r="D1498" s="32" t="s">
        <v>2597</v>
      </c>
      <c r="E1498" s="5">
        <f>'ПДФО ГРОМАДИ'!M1498</f>
        <v>0</v>
      </c>
      <c r="F1498" s="5">
        <f>'ПДФО ГРОМАДИ'!N1498</f>
        <v>8921.2999999999993</v>
      </c>
    </row>
    <row r="1499" spans="1:6" ht="15.75" x14ac:dyDescent="0.25">
      <c r="A1499" s="38">
        <v>23</v>
      </c>
      <c r="B1499" s="34" t="s">
        <v>984</v>
      </c>
      <c r="C1499" s="18">
        <v>23539000000</v>
      </c>
      <c r="D1499" s="32" t="s">
        <v>2598</v>
      </c>
      <c r="E1499" s="5">
        <f>'ПДФО ГРОМАДИ'!M1499</f>
        <v>0</v>
      </c>
      <c r="F1499" s="5">
        <f>'ПДФО ГРОМАДИ'!N1499</f>
        <v>588.29999999999995</v>
      </c>
    </row>
    <row r="1500" spans="1:6" ht="15.75" x14ac:dyDescent="0.25">
      <c r="A1500" s="38">
        <v>23</v>
      </c>
      <c r="B1500" s="34" t="s">
        <v>985</v>
      </c>
      <c r="C1500" s="18">
        <v>23540000000</v>
      </c>
      <c r="D1500" s="32" t="s">
        <v>2599</v>
      </c>
      <c r="E1500" s="5">
        <f>'ПДФО ГРОМАДИ'!M1500</f>
        <v>0</v>
      </c>
      <c r="F1500" s="5">
        <f>'ПДФО ГРОМАДИ'!N1500</f>
        <v>7593.3</v>
      </c>
    </row>
    <row r="1501" spans="1:6" ht="15.75" x14ac:dyDescent="0.25">
      <c r="A1501" s="38">
        <v>23</v>
      </c>
      <c r="B1501" s="34" t="s">
        <v>984</v>
      </c>
      <c r="C1501" s="18">
        <v>23542000000</v>
      </c>
      <c r="D1501" s="32" t="s">
        <v>2600</v>
      </c>
      <c r="E1501" s="5">
        <f>'ПДФО ГРОМАДИ'!M1501</f>
        <v>0</v>
      </c>
      <c r="F1501" s="5">
        <f>'ПДФО ГРОМАДИ'!N1501</f>
        <v>3944.3</v>
      </c>
    </row>
    <row r="1502" spans="1:6" ht="15.75" x14ac:dyDescent="0.25">
      <c r="A1502" s="38">
        <v>23</v>
      </c>
      <c r="B1502" s="34" t="s">
        <v>984</v>
      </c>
      <c r="C1502" s="18">
        <v>23546000000</v>
      </c>
      <c r="D1502" s="32" t="s">
        <v>2601</v>
      </c>
      <c r="E1502" s="5">
        <f>'ПДФО ГРОМАДИ'!M1502</f>
        <v>0</v>
      </c>
      <c r="F1502" s="5">
        <f>'ПДФО ГРОМАДИ'!N1502</f>
        <v>8329.2000000000007</v>
      </c>
    </row>
    <row r="1503" spans="1:6" ht="15.75" x14ac:dyDescent="0.25">
      <c r="A1503" s="38">
        <v>23</v>
      </c>
      <c r="B1503" s="34" t="s">
        <v>984</v>
      </c>
      <c r="C1503" s="18">
        <v>23547000000</v>
      </c>
      <c r="D1503" s="32" t="s">
        <v>2602</v>
      </c>
      <c r="E1503" s="5">
        <f>'ПДФО ГРОМАДИ'!M1503</f>
        <v>0</v>
      </c>
      <c r="F1503" s="5">
        <f>'ПДФО ГРОМАДИ'!N1503</f>
        <v>3648.7</v>
      </c>
    </row>
    <row r="1504" spans="1:6" s="75" customFormat="1" ht="15.75" x14ac:dyDescent="0.25">
      <c r="A1504" s="38">
        <v>23</v>
      </c>
      <c r="B1504" s="34" t="s">
        <v>984</v>
      </c>
      <c r="C1504" s="18">
        <v>23549000000</v>
      </c>
      <c r="D1504" s="32" t="s">
        <v>2603</v>
      </c>
      <c r="E1504" s="5">
        <f>'ПДФО ГРОМАДИ'!M1504</f>
        <v>0</v>
      </c>
      <c r="F1504" s="5">
        <f>'ПДФО ГРОМАДИ'!N1504</f>
        <v>4556.8</v>
      </c>
    </row>
    <row r="1505" spans="1:6" s="75" customFormat="1" ht="15.75" x14ac:dyDescent="0.25">
      <c r="A1505" s="38">
        <v>23</v>
      </c>
      <c r="B1505" s="34" t="s">
        <v>984</v>
      </c>
      <c r="C1505" s="18">
        <v>23551000000</v>
      </c>
      <c r="D1505" s="32" t="s">
        <v>2604</v>
      </c>
      <c r="E1505" s="5">
        <f>'ПДФО ГРОМАДИ'!M1505</f>
        <v>0</v>
      </c>
      <c r="F1505" s="5">
        <f>'ПДФО ГРОМАДИ'!N1505</f>
        <v>0</v>
      </c>
    </row>
    <row r="1506" spans="1:6" s="75" customFormat="1" ht="15.75" x14ac:dyDescent="0.25">
      <c r="A1506" s="38">
        <v>23</v>
      </c>
      <c r="B1506" s="34" t="s">
        <v>983</v>
      </c>
      <c r="C1506" s="18">
        <v>23552000000</v>
      </c>
      <c r="D1506" s="32" t="s">
        <v>2605</v>
      </c>
      <c r="E1506" s="5">
        <f>'ПДФО ГРОМАДИ'!M1506</f>
        <v>0</v>
      </c>
      <c r="F1506" s="5">
        <f>'ПДФО ГРОМАДИ'!N1506</f>
        <v>6964.6</v>
      </c>
    </row>
    <row r="1507" spans="1:6" s="75" customFormat="1" ht="15.75" x14ac:dyDescent="0.25">
      <c r="A1507" s="38">
        <v>23</v>
      </c>
      <c r="B1507" s="34" t="s">
        <v>984</v>
      </c>
      <c r="C1507" s="18">
        <v>23553000000</v>
      </c>
      <c r="D1507" s="32" t="s">
        <v>2069</v>
      </c>
      <c r="E1507" s="5">
        <f>'ПДФО ГРОМАДИ'!M1507</f>
        <v>0</v>
      </c>
      <c r="F1507" s="5">
        <f>'ПДФО ГРОМАДИ'!N1507</f>
        <v>3371</v>
      </c>
    </row>
    <row r="1508" spans="1:6" s="75" customFormat="1" ht="15.75" x14ac:dyDescent="0.25">
      <c r="A1508" s="38">
        <v>23</v>
      </c>
      <c r="B1508" s="34" t="s">
        <v>986</v>
      </c>
      <c r="C1508" s="18">
        <v>23554000000</v>
      </c>
      <c r="D1508" s="32" t="s">
        <v>2606</v>
      </c>
      <c r="E1508" s="5">
        <f>'ПДФО ГРОМАДИ'!M1508</f>
        <v>8928.1</v>
      </c>
      <c r="F1508" s="5">
        <f>'ПДФО ГРОМАДИ'!N1508</f>
        <v>0</v>
      </c>
    </row>
    <row r="1509" spans="1:6" s="75" customFormat="1" ht="15.75" x14ac:dyDescent="0.25">
      <c r="A1509" s="38">
        <v>23</v>
      </c>
      <c r="B1509" s="34" t="s">
        <v>985</v>
      </c>
      <c r="C1509" s="18">
        <v>23555000000</v>
      </c>
      <c r="D1509" s="32" t="s">
        <v>2607</v>
      </c>
      <c r="E1509" s="5">
        <f>'ПДФО ГРОМАДИ'!M1509</f>
        <v>0</v>
      </c>
      <c r="F1509" s="5">
        <f>'ПДФО ГРОМАДИ'!N1509</f>
        <v>208</v>
      </c>
    </row>
    <row r="1510" spans="1:6" s="75" customFormat="1" ht="15.75" x14ac:dyDescent="0.25">
      <c r="A1510" s="38">
        <v>23</v>
      </c>
      <c r="B1510" s="34" t="s">
        <v>984</v>
      </c>
      <c r="C1510" s="18">
        <v>23556000000</v>
      </c>
      <c r="D1510" s="32" t="s">
        <v>2608</v>
      </c>
      <c r="E1510" s="5">
        <f>'ПДФО ГРОМАДИ'!M1510</f>
        <v>0</v>
      </c>
      <c r="F1510" s="5">
        <f>'ПДФО ГРОМАДИ'!N1510</f>
        <v>610.79999999999995</v>
      </c>
    </row>
    <row r="1511" spans="1:6" s="75" customFormat="1" ht="15.75" x14ac:dyDescent="0.25">
      <c r="A1511" s="38">
        <v>23</v>
      </c>
      <c r="B1511" s="34" t="s">
        <v>984</v>
      </c>
      <c r="C1511" s="18">
        <v>23557000000</v>
      </c>
      <c r="D1511" s="32" t="s">
        <v>2609</v>
      </c>
      <c r="E1511" s="5">
        <f>'ПДФО ГРОМАДИ'!M1511</f>
        <v>0</v>
      </c>
      <c r="F1511" s="5">
        <f>'ПДФО ГРОМАДИ'!N1511</f>
        <v>1144.9000000000001</v>
      </c>
    </row>
    <row r="1512" spans="1:6" s="75" customFormat="1" ht="15.75" x14ac:dyDescent="0.25">
      <c r="A1512" s="38">
        <v>23</v>
      </c>
      <c r="B1512" s="34" t="s">
        <v>985</v>
      </c>
      <c r="C1512" s="18">
        <v>23558000000</v>
      </c>
      <c r="D1512" s="80" t="s">
        <v>2610</v>
      </c>
      <c r="E1512" s="5">
        <f>'ПДФО ГРОМАДИ'!M1512</f>
        <v>0</v>
      </c>
      <c r="F1512" s="5">
        <f>'ПДФО ГРОМАДИ'!N1512</f>
        <v>1870.8</v>
      </c>
    </row>
    <row r="1513" spans="1:6" s="75" customFormat="1" ht="15.75" x14ac:dyDescent="0.25">
      <c r="A1513" s="38">
        <v>23</v>
      </c>
      <c r="B1513" s="34" t="s">
        <v>984</v>
      </c>
      <c r="C1513" s="18">
        <v>23559000000</v>
      </c>
      <c r="D1513" s="80" t="s">
        <v>2611</v>
      </c>
      <c r="E1513" s="5">
        <f>'ПДФО ГРОМАДИ'!M1513</f>
        <v>0</v>
      </c>
      <c r="F1513" s="5">
        <f>'ПДФО ГРОМАДИ'!N1513</f>
        <v>0</v>
      </c>
    </row>
    <row r="1514" spans="1:6" s="75" customFormat="1" ht="15.75" x14ac:dyDescent="0.25">
      <c r="A1514" s="38">
        <v>23</v>
      </c>
      <c r="B1514" s="34" t="s">
        <v>986</v>
      </c>
      <c r="C1514" s="18">
        <v>23560000000</v>
      </c>
      <c r="D1514" s="80" t="s">
        <v>2612</v>
      </c>
      <c r="E1514" s="5">
        <f>'ПДФО ГРОМАДИ'!M1514</f>
        <v>0</v>
      </c>
      <c r="F1514" s="5">
        <f>'ПДФО ГРОМАДИ'!N1514</f>
        <v>29223</v>
      </c>
    </row>
    <row r="1515" spans="1:6" s="75" customFormat="1" ht="15.75" x14ac:dyDescent="0.25">
      <c r="A1515" s="38">
        <v>23</v>
      </c>
      <c r="B1515" s="34" t="s">
        <v>984</v>
      </c>
      <c r="C1515" s="18">
        <v>23561000000</v>
      </c>
      <c r="D1515" s="80" t="s">
        <v>2613</v>
      </c>
      <c r="E1515" s="5">
        <f>'ПДФО ГРОМАДИ'!M1515</f>
        <v>0</v>
      </c>
      <c r="F1515" s="5">
        <f>'ПДФО ГРОМАДИ'!N1515</f>
        <v>513.9</v>
      </c>
    </row>
    <row r="1516" spans="1:6" s="75" customFormat="1" ht="15.75" x14ac:dyDescent="0.25">
      <c r="A1516" s="38">
        <v>23</v>
      </c>
      <c r="B1516" s="34" t="s">
        <v>984</v>
      </c>
      <c r="C1516" s="18">
        <v>23562000000</v>
      </c>
      <c r="D1516" s="80" t="s">
        <v>2614</v>
      </c>
      <c r="E1516" s="5">
        <f>'ПДФО ГРОМАДИ'!M1516</f>
        <v>0</v>
      </c>
      <c r="F1516" s="5">
        <f>'ПДФО ГРОМАДИ'!N1516</f>
        <v>0</v>
      </c>
    </row>
    <row r="1517" spans="1:6" s="75" customFormat="1" ht="15.75" x14ac:dyDescent="0.25">
      <c r="A1517" s="38">
        <v>23</v>
      </c>
      <c r="B1517" s="34" t="s">
        <v>983</v>
      </c>
      <c r="C1517" s="18">
        <v>23563000000</v>
      </c>
      <c r="D1517" s="80" t="s">
        <v>2615</v>
      </c>
      <c r="E1517" s="5">
        <f>'ПДФО ГРОМАДИ'!M1517</f>
        <v>0</v>
      </c>
      <c r="F1517" s="5">
        <f>'ПДФО ГРОМАДИ'!N1517</f>
        <v>8731.4</v>
      </c>
    </row>
    <row r="1518" spans="1:6" s="75" customFormat="1" ht="15.75" x14ac:dyDescent="0.25">
      <c r="A1518" s="38">
        <v>23</v>
      </c>
      <c r="B1518" s="34" t="s">
        <v>983</v>
      </c>
      <c r="C1518" s="18">
        <v>23564000000</v>
      </c>
      <c r="D1518" s="80" t="s">
        <v>2616</v>
      </c>
      <c r="E1518" s="5">
        <f>'ПДФО ГРОМАДИ'!M1518</f>
        <v>0</v>
      </c>
      <c r="F1518" s="5">
        <f>'ПДФО ГРОМАДИ'!N1518</f>
        <v>6823.2</v>
      </c>
    </row>
    <row r="1519" spans="1:6" s="75" customFormat="1" ht="15.75" x14ac:dyDescent="0.25">
      <c r="A1519" s="38">
        <v>23</v>
      </c>
      <c r="B1519" s="34" t="s">
        <v>986</v>
      </c>
      <c r="C1519" s="18">
        <v>23565000000</v>
      </c>
      <c r="D1519" s="80" t="s">
        <v>2617</v>
      </c>
      <c r="E1519" s="5">
        <f>'ПДФО ГРОМАДИ'!M1519</f>
        <v>0</v>
      </c>
      <c r="F1519" s="5">
        <f>'ПДФО ГРОМАДИ'!N1519</f>
        <v>0</v>
      </c>
    </row>
    <row r="1520" spans="1:6" s="75" customFormat="1" ht="15.75" x14ac:dyDescent="0.25">
      <c r="A1520" s="38">
        <v>23</v>
      </c>
      <c r="B1520" s="34" t="s">
        <v>985</v>
      </c>
      <c r="C1520" s="18">
        <v>23566000000</v>
      </c>
      <c r="D1520" s="80" t="s">
        <v>2618</v>
      </c>
      <c r="E1520" s="5">
        <f>'ПДФО ГРОМАДИ'!M1520</f>
        <v>0</v>
      </c>
      <c r="F1520" s="5">
        <f>'ПДФО ГРОМАДИ'!N1520</f>
        <v>3854</v>
      </c>
    </row>
    <row r="1521" spans="1:6" s="75" customFormat="1" ht="15.75" x14ac:dyDescent="0.25">
      <c r="A1521" s="38">
        <v>23</v>
      </c>
      <c r="B1521" s="34" t="s">
        <v>983</v>
      </c>
      <c r="C1521" s="18">
        <v>23567000000</v>
      </c>
      <c r="D1521" s="80" t="s">
        <v>2619</v>
      </c>
      <c r="E1521" s="5">
        <f>'ПДФО ГРОМАДИ'!M1521</f>
        <v>0</v>
      </c>
      <c r="F1521" s="5">
        <f>'ПДФО ГРОМАДИ'!N1521</f>
        <v>596.6</v>
      </c>
    </row>
    <row r="1522" spans="1:6" s="75" customFormat="1" ht="15.75" x14ac:dyDescent="0.25">
      <c r="A1522" s="38">
        <v>23</v>
      </c>
      <c r="B1522" s="34" t="s">
        <v>985</v>
      </c>
      <c r="C1522" s="18">
        <v>23568000000</v>
      </c>
      <c r="D1522" s="80" t="s">
        <v>2620</v>
      </c>
      <c r="E1522" s="5">
        <f>'ПДФО ГРОМАДИ'!M1522</f>
        <v>0</v>
      </c>
      <c r="F1522" s="5">
        <f>'ПДФО ГРОМАДИ'!N1522</f>
        <v>0</v>
      </c>
    </row>
    <row r="1523" spans="1:6" s="75" customFormat="1" ht="15.75" x14ac:dyDescent="0.25">
      <c r="A1523" s="38">
        <v>23</v>
      </c>
      <c r="B1523" s="34" t="s">
        <v>983</v>
      </c>
      <c r="C1523" s="18">
        <v>23569000000</v>
      </c>
      <c r="D1523" s="80" t="s">
        <v>2621</v>
      </c>
      <c r="E1523" s="5">
        <f>'ПДФО ГРОМАДИ'!M1523</f>
        <v>0</v>
      </c>
      <c r="F1523" s="5">
        <f>'ПДФО ГРОМАДИ'!N1523</f>
        <v>31076.1</v>
      </c>
    </row>
    <row r="1524" spans="1:6" s="75" customFormat="1" ht="15.75" x14ac:dyDescent="0.25">
      <c r="A1524" s="38">
        <v>23</v>
      </c>
      <c r="B1524" s="34" t="s">
        <v>984</v>
      </c>
      <c r="C1524" s="18">
        <v>23570000000</v>
      </c>
      <c r="D1524" s="80" t="s">
        <v>2622</v>
      </c>
      <c r="E1524" s="5">
        <f>'ПДФО ГРОМАДИ'!M1524</f>
        <v>0</v>
      </c>
      <c r="F1524" s="5">
        <f>'ПДФО ГРОМАДИ'!N1524</f>
        <v>20789.7</v>
      </c>
    </row>
    <row r="1525" spans="1:6" s="75" customFormat="1" ht="15.75" x14ac:dyDescent="0.25">
      <c r="A1525" s="38">
        <v>23</v>
      </c>
      <c r="B1525" s="34" t="s">
        <v>984</v>
      </c>
      <c r="C1525" s="18">
        <v>23571000000</v>
      </c>
      <c r="D1525" s="80" t="s">
        <v>2623</v>
      </c>
      <c r="E1525" s="5">
        <f>'ПДФО ГРОМАДИ'!M1525</f>
        <v>0</v>
      </c>
      <c r="F1525" s="5">
        <f>'ПДФО ГРОМАДИ'!N1525</f>
        <v>0</v>
      </c>
    </row>
    <row r="1526" spans="1:6" s="75" customFormat="1" ht="15.75" x14ac:dyDescent="0.25">
      <c r="A1526" s="38">
        <v>23</v>
      </c>
      <c r="B1526" s="34" t="s">
        <v>984</v>
      </c>
      <c r="C1526" s="18">
        <v>23572000000</v>
      </c>
      <c r="D1526" s="80" t="s">
        <v>1270</v>
      </c>
      <c r="E1526" s="5">
        <f>'ПДФО ГРОМАДИ'!M1526</f>
        <v>0</v>
      </c>
      <c r="F1526" s="5">
        <f>'ПДФО ГРОМАДИ'!N1526</f>
        <v>4868.3999999999996</v>
      </c>
    </row>
    <row r="1527" spans="1:6" s="75" customFormat="1" ht="15.75" x14ac:dyDescent="0.25">
      <c r="A1527" s="38">
        <v>23</v>
      </c>
      <c r="B1527" s="34" t="s">
        <v>986</v>
      </c>
      <c r="C1527" s="18">
        <v>23573000000</v>
      </c>
      <c r="D1527" s="80" t="s">
        <v>2624</v>
      </c>
      <c r="E1527" s="5">
        <f>'ПДФО ГРОМАДИ'!M1527</f>
        <v>0</v>
      </c>
      <c r="F1527" s="5">
        <f>'ПДФО ГРОМАДИ'!N1527</f>
        <v>20763.5</v>
      </c>
    </row>
    <row r="1528" spans="1:6" s="75" customFormat="1" ht="15.75" x14ac:dyDescent="0.25">
      <c r="A1528" s="38">
        <v>23</v>
      </c>
      <c r="B1528" s="34" t="s">
        <v>986</v>
      </c>
      <c r="C1528" s="18">
        <v>23574000000</v>
      </c>
      <c r="D1528" s="80" t="s">
        <v>2625</v>
      </c>
      <c r="E1528" s="5">
        <f>'ПДФО ГРОМАДИ'!M1528</f>
        <v>0</v>
      </c>
      <c r="F1528" s="5">
        <f>'ПДФО ГРОМАДИ'!N1528</f>
        <v>0</v>
      </c>
    </row>
    <row r="1529" spans="1:6" s="75" customFormat="1" ht="15.75" x14ac:dyDescent="0.25">
      <c r="A1529" s="38">
        <v>23</v>
      </c>
      <c r="B1529" s="34" t="s">
        <v>983</v>
      </c>
      <c r="C1529" s="18">
        <v>23575000000</v>
      </c>
      <c r="D1529" s="80" t="s">
        <v>2626</v>
      </c>
      <c r="E1529" s="5">
        <f>'ПДФО ГРОМАДИ'!M1529</f>
        <v>0</v>
      </c>
      <c r="F1529" s="5">
        <f>'ПДФО ГРОМАДИ'!N1529</f>
        <v>2829.5</v>
      </c>
    </row>
    <row r="1530" spans="1:6" s="75" customFormat="1" ht="15.75" x14ac:dyDescent="0.25">
      <c r="A1530" s="38">
        <v>23</v>
      </c>
      <c r="B1530" s="34" t="s">
        <v>986</v>
      </c>
      <c r="C1530" s="18">
        <v>23576000000</v>
      </c>
      <c r="D1530" s="80" t="s">
        <v>2627</v>
      </c>
      <c r="E1530" s="5">
        <f>'ПДФО ГРОМАДИ'!M1530</f>
        <v>112508.6</v>
      </c>
      <c r="F1530" s="5">
        <f>'ПДФО ГРОМАДИ'!N1530</f>
        <v>0</v>
      </c>
    </row>
    <row r="1531" spans="1:6" s="75" customFormat="1" ht="15.75" x14ac:dyDescent="0.25">
      <c r="A1531" s="38">
        <v>23</v>
      </c>
      <c r="B1531" s="34" t="s">
        <v>985</v>
      </c>
      <c r="C1531" s="18">
        <v>23577000000</v>
      </c>
      <c r="D1531" s="80" t="s">
        <v>2628</v>
      </c>
      <c r="E1531" s="5">
        <f>'ПДФО ГРОМАДИ'!M1531</f>
        <v>0</v>
      </c>
      <c r="F1531" s="5">
        <f>'ПДФО ГРОМАДИ'!N1531</f>
        <v>0</v>
      </c>
    </row>
    <row r="1532" spans="1:6" s="75" customFormat="1" ht="15.75" x14ac:dyDescent="0.25">
      <c r="A1532" s="38">
        <v>23</v>
      </c>
      <c r="B1532" s="34" t="s">
        <v>984</v>
      </c>
      <c r="C1532" s="18">
        <v>23578000000</v>
      </c>
      <c r="D1532" s="80" t="s">
        <v>2843</v>
      </c>
      <c r="E1532" s="5">
        <f>'ПДФО ГРОМАДИ'!M1532</f>
        <v>0</v>
      </c>
      <c r="F1532" s="5">
        <f>'ПДФО ГРОМАДИ'!N1532</f>
        <v>8786.4</v>
      </c>
    </row>
    <row r="1533" spans="1:6" s="75" customFormat="1" ht="15.75" x14ac:dyDescent="0.25">
      <c r="A1533" s="36">
        <v>24</v>
      </c>
      <c r="B1533" s="17" t="s">
        <v>7</v>
      </c>
      <c r="C1533" s="17" t="s">
        <v>823</v>
      </c>
      <c r="D1533" s="11" t="s">
        <v>25</v>
      </c>
      <c r="E1533" s="11">
        <f>E1534+E1535+E1539</f>
        <v>2673</v>
      </c>
      <c r="F1533" s="11">
        <f>F1534+F1535+F1539</f>
        <v>1128347.6999999997</v>
      </c>
    </row>
    <row r="1534" spans="1:6" s="75" customFormat="1" ht="15.75" x14ac:dyDescent="0.25">
      <c r="A1534" s="38">
        <v>24</v>
      </c>
      <c r="B1534" s="34" t="s">
        <v>6</v>
      </c>
      <c r="C1534" s="18" t="s">
        <v>214</v>
      </c>
      <c r="D1534" s="32" t="s">
        <v>863</v>
      </c>
      <c r="E1534" s="5">
        <f>'ПДФО ОБЛАСНІ'!K26+'ПОДАТОК НА ПРИБУТОК'!K26</f>
        <v>0</v>
      </c>
      <c r="F1534" s="5">
        <f>'ПДФО ОБЛАСНІ'!L26+'ПОДАТОК НА ПРИБУТОК'!L26</f>
        <v>241244.2</v>
      </c>
    </row>
    <row r="1535" spans="1:6" s="75" customFormat="1" ht="15.75" x14ac:dyDescent="0.25">
      <c r="A1535" s="37">
        <v>24</v>
      </c>
      <c r="B1535" s="19" t="s">
        <v>5</v>
      </c>
      <c r="C1535" s="19" t="s">
        <v>824</v>
      </c>
      <c r="D1535" s="7" t="s">
        <v>2817</v>
      </c>
      <c r="E1535" s="7">
        <f>SUM(E1536:E1538)</f>
        <v>0</v>
      </c>
      <c r="F1535" s="7">
        <f>SUM(F1536:F1538)</f>
        <v>0</v>
      </c>
    </row>
    <row r="1536" spans="1:6" s="75" customFormat="1" ht="15.75" x14ac:dyDescent="0.25">
      <c r="A1536" s="38">
        <v>24</v>
      </c>
      <c r="B1536" s="34" t="s">
        <v>4</v>
      </c>
      <c r="C1536" s="18" t="s">
        <v>2762</v>
      </c>
      <c r="D1536" s="32" t="s">
        <v>2763</v>
      </c>
      <c r="E1536" s="5">
        <f>'ПДФО ГРОМАДИ'!M1536</f>
        <v>0</v>
      </c>
      <c r="F1536" s="5">
        <f>'ПДФО ГРОМАДИ'!N1536</f>
        <v>0</v>
      </c>
    </row>
    <row r="1537" spans="1:6" ht="15.75" x14ac:dyDescent="0.25">
      <c r="A1537" s="38">
        <v>24</v>
      </c>
      <c r="B1537" s="34" t="s">
        <v>4</v>
      </c>
      <c r="C1537" s="18" t="s">
        <v>2764</v>
      </c>
      <c r="D1537" s="32" t="s">
        <v>2821</v>
      </c>
      <c r="E1537" s="5">
        <f>'ПДФО ГРОМАДИ'!M1537</f>
        <v>0</v>
      </c>
      <c r="F1537" s="5">
        <f>'ПДФО ГРОМАДИ'!N1537</f>
        <v>0</v>
      </c>
    </row>
    <row r="1538" spans="1:6" ht="15.75" x14ac:dyDescent="0.25">
      <c r="A1538" s="38">
        <v>24</v>
      </c>
      <c r="B1538" s="34" t="s">
        <v>4</v>
      </c>
      <c r="C1538" s="18">
        <v>24312200000</v>
      </c>
      <c r="D1538" s="32" t="s">
        <v>887</v>
      </c>
      <c r="E1538" s="5">
        <f>'ПДФО ГРОМАДИ'!M1538</f>
        <v>0</v>
      </c>
      <c r="F1538" s="5">
        <f>'ПДФО ГРОМАДИ'!N1538</f>
        <v>0</v>
      </c>
    </row>
    <row r="1539" spans="1:6" ht="15.75" x14ac:dyDescent="0.25">
      <c r="A1539" s="37">
        <v>24</v>
      </c>
      <c r="B1539" s="19" t="s">
        <v>28</v>
      </c>
      <c r="C1539" s="19" t="s">
        <v>825</v>
      </c>
      <c r="D1539" s="20" t="s">
        <v>2790</v>
      </c>
      <c r="E1539" s="7">
        <f>SUM(E1540:E1591)</f>
        <v>2673</v>
      </c>
      <c r="F1539" s="7">
        <f>SUM(F1540:F1591)</f>
        <v>887103.49999999965</v>
      </c>
    </row>
    <row r="1540" spans="1:6" ht="15.75" x14ac:dyDescent="0.25">
      <c r="A1540" s="38">
        <v>24</v>
      </c>
      <c r="B1540" s="34" t="s">
        <v>984</v>
      </c>
      <c r="C1540" s="18" t="s">
        <v>215</v>
      </c>
      <c r="D1540" s="32" t="s">
        <v>2629</v>
      </c>
      <c r="E1540" s="5">
        <f>'ПДФО ГРОМАДИ'!M1540</f>
        <v>0</v>
      </c>
      <c r="F1540" s="5">
        <f>'ПДФО ГРОМАДИ'!N1540</f>
        <v>7907</v>
      </c>
    </row>
    <row r="1541" spans="1:6" ht="15.75" x14ac:dyDescent="0.25">
      <c r="A1541" s="38">
        <v>24</v>
      </c>
      <c r="B1541" s="34" t="s">
        <v>984</v>
      </c>
      <c r="C1541" s="18" t="s">
        <v>216</v>
      </c>
      <c r="D1541" s="32" t="s">
        <v>2630</v>
      </c>
      <c r="E1541" s="5">
        <f>'ПДФО ГРОМАДИ'!M1541</f>
        <v>0</v>
      </c>
      <c r="F1541" s="5">
        <f>'ПДФО ГРОМАДИ'!N1541</f>
        <v>26987.3</v>
      </c>
    </row>
    <row r="1542" spans="1:6" ht="15.75" x14ac:dyDescent="0.25">
      <c r="A1542" s="38">
        <v>24</v>
      </c>
      <c r="B1542" s="34" t="s">
        <v>984</v>
      </c>
      <c r="C1542" s="18" t="s">
        <v>269</v>
      </c>
      <c r="D1542" s="32" t="s">
        <v>2631</v>
      </c>
      <c r="E1542" s="5">
        <f>'ПДФО ГРОМАДИ'!M1542</f>
        <v>0</v>
      </c>
      <c r="F1542" s="5">
        <f>'ПДФО ГРОМАДИ'!N1542</f>
        <v>11897.4</v>
      </c>
    </row>
    <row r="1543" spans="1:6" ht="15.75" x14ac:dyDescent="0.25">
      <c r="A1543" s="38">
        <v>24</v>
      </c>
      <c r="B1543" s="34" t="s">
        <v>985</v>
      </c>
      <c r="C1543" s="18" t="s">
        <v>270</v>
      </c>
      <c r="D1543" s="32" t="s">
        <v>2632</v>
      </c>
      <c r="E1543" s="5">
        <f>'ПДФО ГРОМАДИ'!M1543</f>
        <v>0</v>
      </c>
      <c r="F1543" s="5">
        <f>'ПДФО ГРОМАДИ'!N1543</f>
        <v>13736.1</v>
      </c>
    </row>
    <row r="1544" spans="1:6" ht="15.75" x14ac:dyDescent="0.25">
      <c r="A1544" s="38">
        <v>24</v>
      </c>
      <c r="B1544" s="34" t="s">
        <v>984</v>
      </c>
      <c r="C1544" s="18" t="s">
        <v>271</v>
      </c>
      <c r="D1544" s="32" t="s">
        <v>2633</v>
      </c>
      <c r="E1544" s="5">
        <f>'ПДФО ГРОМАДИ'!M1544</f>
        <v>0</v>
      </c>
      <c r="F1544" s="5">
        <f>'ПДФО ГРОМАДИ'!N1544</f>
        <v>27592.3</v>
      </c>
    </row>
    <row r="1545" spans="1:6" ht="15.75" x14ac:dyDescent="0.25">
      <c r="A1545" s="38">
        <v>24</v>
      </c>
      <c r="B1545" s="34" t="s">
        <v>984</v>
      </c>
      <c r="C1545" s="18" t="s">
        <v>272</v>
      </c>
      <c r="D1545" s="32" t="s">
        <v>2634</v>
      </c>
      <c r="E1545" s="5">
        <f>'ПДФО ГРОМАДИ'!M1545</f>
        <v>0</v>
      </c>
      <c r="F1545" s="5">
        <f>'ПДФО ГРОМАДИ'!N1545</f>
        <v>17362.7</v>
      </c>
    </row>
    <row r="1546" spans="1:6" ht="15.75" x14ac:dyDescent="0.25">
      <c r="A1546" s="38">
        <v>24</v>
      </c>
      <c r="B1546" s="34" t="s">
        <v>984</v>
      </c>
      <c r="C1546" s="18" t="s">
        <v>273</v>
      </c>
      <c r="D1546" s="32" t="s">
        <v>2635</v>
      </c>
      <c r="E1546" s="5">
        <f>'ПДФО ГРОМАДИ'!M1546</f>
        <v>0</v>
      </c>
      <c r="F1546" s="5">
        <f>'ПДФО ГРОМАДИ'!N1546</f>
        <v>21186.7</v>
      </c>
    </row>
    <row r="1547" spans="1:6" ht="15.75" x14ac:dyDescent="0.25">
      <c r="A1547" s="38">
        <v>24</v>
      </c>
      <c r="B1547" s="34" t="s">
        <v>984</v>
      </c>
      <c r="C1547" s="18" t="s">
        <v>274</v>
      </c>
      <c r="D1547" s="32" t="s">
        <v>2636</v>
      </c>
      <c r="E1547" s="5">
        <f>'ПДФО ГРОМАДИ'!M1547</f>
        <v>0</v>
      </c>
      <c r="F1547" s="5">
        <f>'ПДФО ГРОМАДИ'!N1547</f>
        <v>12862.2</v>
      </c>
    </row>
    <row r="1548" spans="1:6" ht="15.75" x14ac:dyDescent="0.25">
      <c r="A1548" s="38">
        <v>24</v>
      </c>
      <c r="B1548" s="34" t="s">
        <v>983</v>
      </c>
      <c r="C1548" s="18" t="s">
        <v>275</v>
      </c>
      <c r="D1548" s="32" t="s">
        <v>2637</v>
      </c>
      <c r="E1548" s="5">
        <f>'ПДФО ГРОМАДИ'!M1548</f>
        <v>0</v>
      </c>
      <c r="F1548" s="5">
        <f>'ПДФО ГРОМАДИ'!N1548</f>
        <v>38153</v>
      </c>
    </row>
    <row r="1549" spans="1:6" ht="15.75" x14ac:dyDescent="0.25">
      <c r="A1549" s="38">
        <v>24</v>
      </c>
      <c r="B1549" s="34" t="s">
        <v>984</v>
      </c>
      <c r="C1549" s="18" t="s">
        <v>276</v>
      </c>
      <c r="D1549" s="32" t="s">
        <v>2638</v>
      </c>
      <c r="E1549" s="5">
        <f>'ПДФО ГРОМАДИ'!M1549</f>
        <v>0</v>
      </c>
      <c r="F1549" s="5">
        <f>'ПДФО ГРОМАДИ'!N1549</f>
        <v>9245.4</v>
      </c>
    </row>
    <row r="1550" spans="1:6" ht="15.75" x14ac:dyDescent="0.25">
      <c r="A1550" s="38">
        <v>24</v>
      </c>
      <c r="B1550" s="34" t="s">
        <v>983</v>
      </c>
      <c r="C1550" s="18" t="s">
        <v>450</v>
      </c>
      <c r="D1550" s="32" t="s">
        <v>2639</v>
      </c>
      <c r="E1550" s="5">
        <f>'ПДФО ГРОМАДИ'!M1550</f>
        <v>0</v>
      </c>
      <c r="F1550" s="5">
        <f>'ПДФО ГРОМАДИ'!N1550</f>
        <v>21565.4</v>
      </c>
    </row>
    <row r="1551" spans="1:6" ht="15.75" x14ac:dyDescent="0.25">
      <c r="A1551" s="38">
        <v>24</v>
      </c>
      <c r="B1551" s="34" t="s">
        <v>983</v>
      </c>
      <c r="C1551" s="18" t="s">
        <v>451</v>
      </c>
      <c r="D1551" s="32" t="s">
        <v>2640</v>
      </c>
      <c r="E1551" s="5">
        <f>'ПДФО ГРОМАДИ'!M1551</f>
        <v>0</v>
      </c>
      <c r="F1551" s="5">
        <f>'ПДФО ГРОМАДИ'!N1551</f>
        <v>14168.9</v>
      </c>
    </row>
    <row r="1552" spans="1:6" ht="15.75" x14ac:dyDescent="0.25">
      <c r="A1552" s="38">
        <v>24</v>
      </c>
      <c r="B1552" s="34" t="s">
        <v>983</v>
      </c>
      <c r="C1552" s="18" t="s">
        <v>452</v>
      </c>
      <c r="D1552" s="32" t="s">
        <v>2641</v>
      </c>
      <c r="E1552" s="5">
        <f>'ПДФО ГРОМАДИ'!M1552</f>
        <v>0</v>
      </c>
      <c r="F1552" s="5">
        <f>'ПДФО ГРОМАДИ'!N1552</f>
        <v>56043.7</v>
      </c>
    </row>
    <row r="1553" spans="1:6" ht="15.75" x14ac:dyDescent="0.25">
      <c r="A1553" s="38">
        <v>24</v>
      </c>
      <c r="B1553" s="34" t="s">
        <v>985</v>
      </c>
      <c r="C1553" s="18" t="s">
        <v>453</v>
      </c>
      <c r="D1553" s="32" t="s">
        <v>2642</v>
      </c>
      <c r="E1553" s="5">
        <f>'ПДФО ГРОМАДИ'!M1553</f>
        <v>0</v>
      </c>
      <c r="F1553" s="5">
        <f>'ПДФО ГРОМАДИ'!N1553</f>
        <v>20730.2</v>
      </c>
    </row>
    <row r="1554" spans="1:6" ht="15.75" x14ac:dyDescent="0.25">
      <c r="A1554" s="38">
        <v>24</v>
      </c>
      <c r="B1554" s="34" t="s">
        <v>984</v>
      </c>
      <c r="C1554" s="18" t="s">
        <v>454</v>
      </c>
      <c r="D1554" s="32" t="s">
        <v>2643</v>
      </c>
      <c r="E1554" s="5">
        <f>'ПДФО ГРОМАДИ'!M1554</f>
        <v>0</v>
      </c>
      <c r="F1554" s="5">
        <f>'ПДФО ГРОМАДИ'!N1554</f>
        <v>9319.6</v>
      </c>
    </row>
    <row r="1555" spans="1:6" ht="15.75" x14ac:dyDescent="0.25">
      <c r="A1555" s="38">
        <v>24</v>
      </c>
      <c r="B1555" s="34" t="s">
        <v>984</v>
      </c>
      <c r="C1555" s="18" t="s">
        <v>455</v>
      </c>
      <c r="D1555" s="32" t="s">
        <v>2644</v>
      </c>
      <c r="E1555" s="5">
        <f>'ПДФО ГРОМАДИ'!M1555</f>
        <v>0</v>
      </c>
      <c r="F1555" s="5">
        <f>'ПДФО ГРОМАДИ'!N1555</f>
        <v>28128.3</v>
      </c>
    </row>
    <row r="1556" spans="1:6" ht="15.75" x14ac:dyDescent="0.25">
      <c r="A1556" s="38">
        <v>24</v>
      </c>
      <c r="B1556" s="34" t="s">
        <v>984</v>
      </c>
      <c r="C1556" s="18" t="s">
        <v>505</v>
      </c>
      <c r="D1556" s="32" t="s">
        <v>2645</v>
      </c>
      <c r="E1556" s="5">
        <f>'ПДФО ГРОМАДИ'!M1556</f>
        <v>0</v>
      </c>
      <c r="F1556" s="5">
        <f>'ПДФО ГРОМАДИ'!N1556</f>
        <v>8543.2000000000007</v>
      </c>
    </row>
    <row r="1557" spans="1:6" ht="15.75" x14ac:dyDescent="0.25">
      <c r="A1557" s="38">
        <v>24</v>
      </c>
      <c r="B1557" s="34" t="s">
        <v>984</v>
      </c>
      <c r="C1557" s="18" t="s">
        <v>506</v>
      </c>
      <c r="D1557" s="32" t="s">
        <v>2834</v>
      </c>
      <c r="E1557" s="5">
        <f>'ПДФО ГРОМАДИ'!M1557</f>
        <v>0</v>
      </c>
      <c r="F1557" s="5">
        <f>'ПДФО ГРОМАДИ'!N1557</f>
        <v>5588.4</v>
      </c>
    </row>
    <row r="1558" spans="1:6" ht="15.75" x14ac:dyDescent="0.25">
      <c r="A1558" s="38">
        <v>24</v>
      </c>
      <c r="B1558" s="34" t="s">
        <v>984</v>
      </c>
      <c r="C1558" s="18" t="s">
        <v>658</v>
      </c>
      <c r="D1558" s="32" t="s">
        <v>2646</v>
      </c>
      <c r="E1558" s="5">
        <f>'ПДФО ГРОМАДИ'!M1558</f>
        <v>0</v>
      </c>
      <c r="F1558" s="5">
        <f>'ПДФО ГРОМАДИ'!N1558</f>
        <v>23267.7</v>
      </c>
    </row>
    <row r="1559" spans="1:6" ht="15.75" x14ac:dyDescent="0.25">
      <c r="A1559" s="38">
        <v>24</v>
      </c>
      <c r="B1559" s="34" t="s">
        <v>984</v>
      </c>
      <c r="C1559" s="18" t="s">
        <v>659</v>
      </c>
      <c r="D1559" s="32" t="s">
        <v>2647</v>
      </c>
      <c r="E1559" s="5">
        <f>'ПДФО ГРОМАДИ'!M1559</f>
        <v>0</v>
      </c>
      <c r="F1559" s="5">
        <f>'ПДФО ГРОМАДИ'!N1559</f>
        <v>30702.9</v>
      </c>
    </row>
    <row r="1560" spans="1:6" ht="15.75" x14ac:dyDescent="0.25">
      <c r="A1560" s="38">
        <v>24</v>
      </c>
      <c r="B1560" s="34" t="s">
        <v>983</v>
      </c>
      <c r="C1560" s="18" t="s">
        <v>660</v>
      </c>
      <c r="D1560" s="32" t="s">
        <v>2648</v>
      </c>
      <c r="E1560" s="5">
        <f>'ПДФО ГРОМАДИ'!M1560</f>
        <v>0</v>
      </c>
      <c r="F1560" s="5">
        <f>'ПДФО ГРОМАДИ'!N1560</f>
        <v>16237.1</v>
      </c>
    </row>
    <row r="1561" spans="1:6" ht="15.75" x14ac:dyDescent="0.25">
      <c r="A1561" s="38">
        <v>24</v>
      </c>
      <c r="B1561" s="34" t="s">
        <v>984</v>
      </c>
      <c r="C1561" s="18" t="s">
        <v>661</v>
      </c>
      <c r="D1561" s="32" t="s">
        <v>2649</v>
      </c>
      <c r="E1561" s="5">
        <f>'ПДФО ГРОМАДИ'!M1561</f>
        <v>0</v>
      </c>
      <c r="F1561" s="5">
        <f>'ПДФО ГРОМАДИ'!N1561</f>
        <v>14305.3</v>
      </c>
    </row>
    <row r="1562" spans="1:6" ht="15.75" x14ac:dyDescent="0.25">
      <c r="A1562" s="38">
        <v>24</v>
      </c>
      <c r="B1562" s="34" t="s">
        <v>984</v>
      </c>
      <c r="C1562" s="18" t="s">
        <v>724</v>
      </c>
      <c r="D1562" s="32" t="s">
        <v>2650</v>
      </c>
      <c r="E1562" s="5">
        <f>'ПДФО ГРОМАДИ'!M1562</f>
        <v>2141.1999999999998</v>
      </c>
      <c r="F1562" s="5">
        <f>'ПДФО ГРОМАДИ'!N1562</f>
        <v>0</v>
      </c>
    </row>
    <row r="1563" spans="1:6" ht="15.75" x14ac:dyDescent="0.25">
      <c r="A1563" s="38">
        <v>24</v>
      </c>
      <c r="B1563" s="34" t="s">
        <v>984</v>
      </c>
      <c r="C1563" s="18" t="s">
        <v>725</v>
      </c>
      <c r="D1563" s="32" t="s">
        <v>2651</v>
      </c>
      <c r="E1563" s="5">
        <f>'ПДФО ГРОМАДИ'!M1563</f>
        <v>0</v>
      </c>
      <c r="F1563" s="5">
        <f>'ПДФО ГРОМАДИ'!N1563</f>
        <v>17283.400000000001</v>
      </c>
    </row>
    <row r="1564" spans="1:6" ht="15.75" x14ac:dyDescent="0.25">
      <c r="A1564" s="38">
        <v>24</v>
      </c>
      <c r="B1564" s="34" t="s">
        <v>985</v>
      </c>
      <c r="C1564" s="18" t="s">
        <v>726</v>
      </c>
      <c r="D1564" s="32" t="s">
        <v>2652</v>
      </c>
      <c r="E1564" s="5">
        <f>'ПДФО ГРОМАДИ'!M1564</f>
        <v>0</v>
      </c>
      <c r="F1564" s="5">
        <f>'ПДФО ГРОМАДИ'!N1564</f>
        <v>6566.1</v>
      </c>
    </row>
    <row r="1565" spans="1:6" ht="15.75" x14ac:dyDescent="0.25">
      <c r="A1565" s="38">
        <v>24</v>
      </c>
      <c r="B1565" s="34" t="s">
        <v>983</v>
      </c>
      <c r="C1565" s="18" t="s">
        <v>727</v>
      </c>
      <c r="D1565" s="32" t="s">
        <v>2653</v>
      </c>
      <c r="E1565" s="5">
        <f>'ПДФО ГРОМАДИ'!M1565</f>
        <v>0</v>
      </c>
      <c r="F1565" s="5">
        <f>'ПДФО ГРОМАДИ'!N1565</f>
        <v>31047.599999999999</v>
      </c>
    </row>
    <row r="1566" spans="1:6" ht="15.75" x14ac:dyDescent="0.25">
      <c r="A1566" s="38">
        <v>24</v>
      </c>
      <c r="B1566" s="34" t="s">
        <v>983</v>
      </c>
      <c r="C1566" s="18">
        <v>24527000000</v>
      </c>
      <c r="D1566" s="32" t="s">
        <v>2654</v>
      </c>
      <c r="E1566" s="5">
        <f>'ПДФО ГРОМАДИ'!M1566</f>
        <v>0</v>
      </c>
      <c r="F1566" s="5">
        <f>'ПДФО ГРОМАДИ'!N1566</f>
        <v>25969.7</v>
      </c>
    </row>
    <row r="1567" spans="1:6" ht="15.75" x14ac:dyDescent="0.25">
      <c r="A1567" s="38">
        <v>24</v>
      </c>
      <c r="B1567" s="34" t="s">
        <v>983</v>
      </c>
      <c r="C1567" s="18">
        <v>24528000000</v>
      </c>
      <c r="D1567" s="32" t="s">
        <v>2655</v>
      </c>
      <c r="E1567" s="5">
        <f>'ПДФО ГРОМАДИ'!M1567</f>
        <v>0</v>
      </c>
      <c r="F1567" s="5">
        <f>'ПДФО ГРОМАДИ'!N1567</f>
        <v>7738.1</v>
      </c>
    </row>
    <row r="1568" spans="1:6" ht="15.75" x14ac:dyDescent="0.25">
      <c r="A1568" s="38">
        <v>24</v>
      </c>
      <c r="B1568" s="34" t="s">
        <v>985</v>
      </c>
      <c r="C1568" s="18">
        <v>24529000000</v>
      </c>
      <c r="D1568" s="32" t="s">
        <v>2656</v>
      </c>
      <c r="E1568" s="5">
        <f>'ПДФО ГРОМАДИ'!M1568</f>
        <v>0</v>
      </c>
      <c r="F1568" s="5">
        <f>'ПДФО ГРОМАДИ'!N1568</f>
        <v>9733</v>
      </c>
    </row>
    <row r="1569" spans="1:6" ht="15.75" x14ac:dyDescent="0.25">
      <c r="A1569" s="38">
        <v>24</v>
      </c>
      <c r="B1569" s="34" t="s">
        <v>984</v>
      </c>
      <c r="C1569" s="18">
        <v>24530000000</v>
      </c>
      <c r="D1569" s="32" t="s">
        <v>2657</v>
      </c>
      <c r="E1569" s="5">
        <f>'ПДФО ГРОМАДИ'!M1569</f>
        <v>0</v>
      </c>
      <c r="F1569" s="5">
        <f>'ПДФО ГРОМАДИ'!N1569</f>
        <v>11334.1</v>
      </c>
    </row>
    <row r="1570" spans="1:6" ht="15.75" x14ac:dyDescent="0.25">
      <c r="A1570" s="38">
        <v>24</v>
      </c>
      <c r="B1570" s="34" t="s">
        <v>983</v>
      </c>
      <c r="C1570" s="18">
        <v>24531000000</v>
      </c>
      <c r="D1570" s="32" t="s">
        <v>2658</v>
      </c>
      <c r="E1570" s="5">
        <f>'ПДФО ГРОМАДИ'!M1570</f>
        <v>0</v>
      </c>
      <c r="F1570" s="5">
        <f>'ПДФО ГРОМАДИ'!N1570</f>
        <v>12171.1</v>
      </c>
    </row>
    <row r="1571" spans="1:6" ht="15.75" x14ac:dyDescent="0.25">
      <c r="A1571" s="38">
        <v>24</v>
      </c>
      <c r="B1571" s="34" t="s">
        <v>984</v>
      </c>
      <c r="C1571" s="18">
        <v>24532000000</v>
      </c>
      <c r="D1571" s="32" t="s">
        <v>2659</v>
      </c>
      <c r="E1571" s="5">
        <f>'ПДФО ГРОМАДИ'!M1571</f>
        <v>0</v>
      </c>
      <c r="F1571" s="5">
        <f>'ПДФО ГРОМАДИ'!N1571</f>
        <v>17344.7</v>
      </c>
    </row>
    <row r="1572" spans="1:6" ht="15.75" x14ac:dyDescent="0.25">
      <c r="A1572" s="38">
        <v>24</v>
      </c>
      <c r="B1572" s="34" t="s">
        <v>986</v>
      </c>
      <c r="C1572" s="18">
        <v>24533000000</v>
      </c>
      <c r="D1572" s="32" t="s">
        <v>2660</v>
      </c>
      <c r="E1572" s="5">
        <f>'ПДФО ГРОМАДИ'!M1572</f>
        <v>531.79999999999995</v>
      </c>
      <c r="F1572" s="5">
        <f>'ПДФО ГРОМАДИ'!N1572</f>
        <v>0</v>
      </c>
    </row>
    <row r="1573" spans="1:6" ht="15.75" x14ac:dyDescent="0.25">
      <c r="A1573" s="38">
        <v>24</v>
      </c>
      <c r="B1573" s="34" t="s">
        <v>984</v>
      </c>
      <c r="C1573" s="18">
        <v>24534000000</v>
      </c>
      <c r="D1573" s="32" t="s">
        <v>2661</v>
      </c>
      <c r="E1573" s="5">
        <f>'ПДФО ГРОМАДИ'!M1573</f>
        <v>0</v>
      </c>
      <c r="F1573" s="5">
        <f>'ПДФО ГРОМАДИ'!N1573</f>
        <v>28323.599999999999</v>
      </c>
    </row>
    <row r="1574" spans="1:6" ht="15.75" x14ac:dyDescent="0.25">
      <c r="A1574" s="38">
        <v>24</v>
      </c>
      <c r="B1574" s="34" t="s">
        <v>984</v>
      </c>
      <c r="C1574" s="18">
        <v>24535000000</v>
      </c>
      <c r="D1574" s="32" t="s">
        <v>2662</v>
      </c>
      <c r="E1574" s="5">
        <f>'ПДФО ГРОМАДИ'!M1574</f>
        <v>0</v>
      </c>
      <c r="F1574" s="5">
        <f>'ПДФО ГРОМАДИ'!N1574</f>
        <v>8246.7999999999993</v>
      </c>
    </row>
    <row r="1575" spans="1:6" ht="15.75" x14ac:dyDescent="0.25">
      <c r="A1575" s="38">
        <v>24</v>
      </c>
      <c r="B1575" s="34" t="s">
        <v>984</v>
      </c>
      <c r="C1575" s="18">
        <v>24536000000</v>
      </c>
      <c r="D1575" s="32" t="s">
        <v>2663</v>
      </c>
      <c r="E1575" s="5">
        <f>'ПДФО ГРОМАДИ'!M1575</f>
        <v>0</v>
      </c>
      <c r="F1575" s="5">
        <f>'ПДФО ГРОМАДИ'!N1575</f>
        <v>15331.5</v>
      </c>
    </row>
    <row r="1576" spans="1:6" ht="15.75" x14ac:dyDescent="0.25">
      <c r="A1576" s="38">
        <v>24</v>
      </c>
      <c r="B1576" s="34" t="s">
        <v>984</v>
      </c>
      <c r="C1576" s="18">
        <v>24537000000</v>
      </c>
      <c r="D1576" s="32" t="s">
        <v>2664</v>
      </c>
      <c r="E1576" s="5">
        <f>'ПДФО ГРОМАДИ'!M1576</f>
        <v>0</v>
      </c>
      <c r="F1576" s="5">
        <f>'ПДФО ГРОМАДИ'!N1576</f>
        <v>13670.5</v>
      </c>
    </row>
    <row r="1577" spans="1:6" ht="15.75" x14ac:dyDescent="0.25">
      <c r="A1577" s="38">
        <v>24</v>
      </c>
      <c r="B1577" s="34" t="s">
        <v>984</v>
      </c>
      <c r="C1577" s="18">
        <v>24538000000</v>
      </c>
      <c r="D1577" s="32" t="s">
        <v>2665</v>
      </c>
      <c r="E1577" s="5">
        <f>'ПДФО ГРОМАДИ'!M1577</f>
        <v>0</v>
      </c>
      <c r="F1577" s="5">
        <f>'ПДФО ГРОМАДИ'!N1577</f>
        <v>14175.6</v>
      </c>
    </row>
    <row r="1578" spans="1:6" ht="15.75" x14ac:dyDescent="0.25">
      <c r="A1578" s="38">
        <v>24</v>
      </c>
      <c r="B1578" s="34" t="s">
        <v>985</v>
      </c>
      <c r="C1578" s="18">
        <v>24539000000</v>
      </c>
      <c r="D1578" s="32" t="s">
        <v>2666</v>
      </c>
      <c r="E1578" s="5">
        <f>'ПДФО ГРОМАДИ'!M1578</f>
        <v>0</v>
      </c>
      <c r="F1578" s="5">
        <f>'ПДФО ГРОМАДИ'!N1578</f>
        <v>25252.2</v>
      </c>
    </row>
    <row r="1579" spans="1:6" ht="15.75" x14ac:dyDescent="0.25">
      <c r="A1579" s="38">
        <v>24</v>
      </c>
      <c r="B1579" s="34" t="s">
        <v>984</v>
      </c>
      <c r="C1579" s="18">
        <v>24540000000</v>
      </c>
      <c r="D1579" s="32" t="s">
        <v>2667</v>
      </c>
      <c r="E1579" s="5">
        <f>'ПДФО ГРОМАДИ'!M1579</f>
        <v>0</v>
      </c>
      <c r="F1579" s="5">
        <f>'ПДФО ГРОМАДИ'!N1579</f>
        <v>11375.5</v>
      </c>
    </row>
    <row r="1580" spans="1:6" ht="15.75" x14ac:dyDescent="0.25">
      <c r="A1580" s="38">
        <v>24</v>
      </c>
      <c r="B1580" s="34" t="s">
        <v>984</v>
      </c>
      <c r="C1580" s="18">
        <v>24541000000</v>
      </c>
      <c r="D1580" s="32" t="s">
        <v>2668</v>
      </c>
      <c r="E1580" s="5">
        <f>'ПДФО ГРОМАДИ'!M1580</f>
        <v>0</v>
      </c>
      <c r="F1580" s="5">
        <f>'ПДФО ГРОМАДИ'!N1580</f>
        <v>17002.599999999999</v>
      </c>
    </row>
    <row r="1581" spans="1:6" ht="15.75" x14ac:dyDescent="0.25">
      <c r="A1581" s="38">
        <v>24</v>
      </c>
      <c r="B1581" s="34" t="s">
        <v>984</v>
      </c>
      <c r="C1581" s="18">
        <v>24542000000</v>
      </c>
      <c r="D1581" s="32" t="s">
        <v>2669</v>
      </c>
      <c r="E1581" s="5">
        <f>'ПДФО ГРОМАДИ'!M1581</f>
        <v>0</v>
      </c>
      <c r="F1581" s="5">
        <f>'ПДФО ГРОМАДИ'!N1581</f>
        <v>12515.5</v>
      </c>
    </row>
    <row r="1582" spans="1:6" ht="15.75" x14ac:dyDescent="0.25">
      <c r="A1582" s="38">
        <v>24</v>
      </c>
      <c r="B1582" s="34" t="s">
        <v>984</v>
      </c>
      <c r="C1582" s="18">
        <v>24543000000</v>
      </c>
      <c r="D1582" s="32" t="s">
        <v>2670</v>
      </c>
      <c r="E1582" s="5">
        <f>'ПДФО ГРОМАДИ'!M1582</f>
        <v>0</v>
      </c>
      <c r="F1582" s="5">
        <f>'ПДФО ГРОМАДИ'!N1582</f>
        <v>10872.9</v>
      </c>
    </row>
    <row r="1583" spans="1:6" ht="15.75" x14ac:dyDescent="0.25">
      <c r="A1583" s="38">
        <v>24</v>
      </c>
      <c r="B1583" s="34" t="s">
        <v>984</v>
      </c>
      <c r="C1583" s="18">
        <v>24544000000</v>
      </c>
      <c r="D1583" s="32" t="s">
        <v>2835</v>
      </c>
      <c r="E1583" s="5">
        <f>'ПДФО ГРОМАДИ'!M1583</f>
        <v>0</v>
      </c>
      <c r="F1583" s="5">
        <f>'ПДФО ГРОМАДИ'!N1583</f>
        <v>18728.599999999999</v>
      </c>
    </row>
    <row r="1584" spans="1:6" ht="15.75" x14ac:dyDescent="0.25">
      <c r="A1584" s="38">
        <v>24</v>
      </c>
      <c r="B1584" s="34" t="s">
        <v>984</v>
      </c>
      <c r="C1584" s="18">
        <v>24545000000</v>
      </c>
      <c r="D1584" s="32" t="s">
        <v>2836</v>
      </c>
      <c r="E1584" s="5">
        <f>'ПДФО ГРОМАДИ'!M1584</f>
        <v>0</v>
      </c>
      <c r="F1584" s="5">
        <f>'ПДФО ГРОМАДИ'!N1584</f>
        <v>22296.6</v>
      </c>
    </row>
    <row r="1585" spans="1:6" ht="15.75" x14ac:dyDescent="0.25">
      <c r="A1585" s="38">
        <v>24</v>
      </c>
      <c r="B1585" s="34" t="s">
        <v>985</v>
      </c>
      <c r="C1585" s="18">
        <v>24546000000</v>
      </c>
      <c r="D1585" s="32" t="s">
        <v>2671</v>
      </c>
      <c r="E1585" s="5">
        <f>'ПДФО ГРОМАДИ'!M1585</f>
        <v>0</v>
      </c>
      <c r="F1585" s="5">
        <f>'ПДФО ГРОМАДИ'!N1585</f>
        <v>40934.699999999997</v>
      </c>
    </row>
    <row r="1586" spans="1:6" ht="15.75" x14ac:dyDescent="0.25">
      <c r="A1586" s="38">
        <v>24</v>
      </c>
      <c r="B1586" s="34" t="s">
        <v>984</v>
      </c>
      <c r="C1586" s="18">
        <v>24547000000</v>
      </c>
      <c r="D1586" s="32" t="s">
        <v>2672</v>
      </c>
      <c r="E1586" s="5">
        <f>'ПДФО ГРОМАДИ'!M1586</f>
        <v>0</v>
      </c>
      <c r="F1586" s="5">
        <f>'ПДФО ГРОМАДИ'!N1586</f>
        <v>11516.4</v>
      </c>
    </row>
    <row r="1587" spans="1:6" ht="15.75" x14ac:dyDescent="0.25">
      <c r="A1587" s="38">
        <v>24</v>
      </c>
      <c r="B1587" s="34" t="s">
        <v>984</v>
      </c>
      <c r="C1587" s="18">
        <v>24548000000</v>
      </c>
      <c r="D1587" s="32" t="s">
        <v>2673</v>
      </c>
      <c r="E1587" s="5">
        <f>'ПДФО ГРОМАДИ'!M1587</f>
        <v>0</v>
      </c>
      <c r="F1587" s="5">
        <f>'ПДФО ГРОМАДИ'!N1587</f>
        <v>16368.1</v>
      </c>
    </row>
    <row r="1588" spans="1:6" ht="15.75" x14ac:dyDescent="0.25">
      <c r="A1588" s="38">
        <v>24</v>
      </c>
      <c r="B1588" s="34" t="s">
        <v>985</v>
      </c>
      <c r="C1588" s="18">
        <v>24549000000</v>
      </c>
      <c r="D1588" s="32" t="s">
        <v>2674</v>
      </c>
      <c r="E1588" s="5">
        <f>'ПДФО ГРОМАДИ'!M1588</f>
        <v>0</v>
      </c>
      <c r="F1588" s="5">
        <f>'ПДФО ГРОМАДИ'!N1588</f>
        <v>7909.6</v>
      </c>
    </row>
    <row r="1589" spans="1:6" ht="15.75" x14ac:dyDescent="0.25">
      <c r="A1589" s="38">
        <v>24</v>
      </c>
      <c r="B1589" s="34" t="s">
        <v>984</v>
      </c>
      <c r="C1589" s="18">
        <v>24550000000</v>
      </c>
      <c r="D1589" s="32" t="s">
        <v>2675</v>
      </c>
      <c r="E1589" s="5">
        <f>'ПДФО ГРОМАДИ'!M1589</f>
        <v>0</v>
      </c>
      <c r="F1589" s="5">
        <f>'ПДФО ГРОМАДИ'!N1589</f>
        <v>14361.5</v>
      </c>
    </row>
    <row r="1590" spans="1:6" ht="15.75" x14ac:dyDescent="0.25">
      <c r="A1590" s="38">
        <v>24</v>
      </c>
      <c r="B1590" s="34" t="s">
        <v>984</v>
      </c>
      <c r="C1590" s="18">
        <v>24551000000</v>
      </c>
      <c r="D1590" s="32" t="s">
        <v>2676</v>
      </c>
      <c r="E1590" s="5">
        <f>'ПДФО ГРОМАДИ'!M1590</f>
        <v>0</v>
      </c>
      <c r="F1590" s="5">
        <f>'ПДФО ГРОМАДИ'!N1590</f>
        <v>23502.7</v>
      </c>
    </row>
    <row r="1591" spans="1:6" ht="15.75" x14ac:dyDescent="0.25">
      <c r="A1591" s="38">
        <v>24</v>
      </c>
      <c r="B1591" s="34" t="s">
        <v>986</v>
      </c>
      <c r="C1591" s="18">
        <v>24552000000</v>
      </c>
      <c r="D1591" s="32" t="s">
        <v>2677</v>
      </c>
      <c r="E1591" s="5">
        <f>'ПДФО ГРОМАДИ'!M1591</f>
        <v>0</v>
      </c>
      <c r="F1591" s="5">
        <f>'ПДФО ГРОМАДИ'!N1591</f>
        <v>0</v>
      </c>
    </row>
    <row r="1592" spans="1:6" ht="15.75" x14ac:dyDescent="0.25">
      <c r="A1592" s="36">
        <v>25</v>
      </c>
      <c r="B1592" s="17" t="s">
        <v>7</v>
      </c>
      <c r="C1592" s="17" t="s">
        <v>826</v>
      </c>
      <c r="D1592" s="11" t="s">
        <v>26</v>
      </c>
      <c r="E1592" s="11">
        <f>E1593+E1594+E1600</f>
        <v>116176.59999999999</v>
      </c>
      <c r="F1592" s="11">
        <f>F1593+F1594+F1600</f>
        <v>255767.9</v>
      </c>
    </row>
    <row r="1593" spans="1:6" ht="15.75" x14ac:dyDescent="0.25">
      <c r="A1593" s="38">
        <v>25</v>
      </c>
      <c r="B1593" s="34" t="s">
        <v>6</v>
      </c>
      <c r="C1593" s="18" t="s">
        <v>217</v>
      </c>
      <c r="D1593" s="32" t="s">
        <v>864</v>
      </c>
      <c r="E1593" s="5">
        <f>'ПДФО ОБЛАСНІ'!K27+'ПОДАТОК НА ПРИБУТОК'!K27</f>
        <v>0</v>
      </c>
      <c r="F1593" s="5">
        <f>'ПДФО ОБЛАСНІ'!L27+'ПОДАТОК НА ПРИБУТОК'!L27</f>
        <v>26514.9</v>
      </c>
    </row>
    <row r="1594" spans="1:6" ht="15.75" x14ac:dyDescent="0.25">
      <c r="A1594" s="37">
        <v>25</v>
      </c>
      <c r="B1594" s="19" t="s">
        <v>5</v>
      </c>
      <c r="C1594" s="19" t="s">
        <v>827</v>
      </c>
      <c r="D1594" s="7" t="s">
        <v>2818</v>
      </c>
      <c r="E1594" s="7">
        <f>SUM(E1595:E1599)</f>
        <v>0</v>
      </c>
      <c r="F1594" s="7">
        <f>SUM(F1595:F1599)</f>
        <v>0</v>
      </c>
    </row>
    <row r="1595" spans="1:6" ht="15.75" x14ac:dyDescent="0.25">
      <c r="A1595" s="38">
        <v>25</v>
      </c>
      <c r="B1595" s="34" t="s">
        <v>4</v>
      </c>
      <c r="C1595" s="18" t="s">
        <v>2765</v>
      </c>
      <c r="D1595" s="32" t="s">
        <v>2766</v>
      </c>
      <c r="E1595" s="5">
        <f>'ПДФО ГРОМАДИ'!M1595</f>
        <v>0</v>
      </c>
      <c r="F1595" s="5">
        <f>'ПДФО ГРОМАДИ'!N1595</f>
        <v>0</v>
      </c>
    </row>
    <row r="1596" spans="1:6" ht="15.75" x14ac:dyDescent="0.25">
      <c r="A1596" s="38">
        <v>25</v>
      </c>
      <c r="B1596" s="34" t="s">
        <v>4</v>
      </c>
      <c r="C1596" s="18" t="s">
        <v>218</v>
      </c>
      <c r="D1596" s="32" t="s">
        <v>967</v>
      </c>
      <c r="E1596" s="5">
        <f>'ПДФО ГРОМАДИ'!M1596</f>
        <v>0</v>
      </c>
      <c r="F1596" s="5">
        <f>'ПДФО ГРОМАДИ'!N1596</f>
        <v>0</v>
      </c>
    </row>
    <row r="1597" spans="1:6" ht="15.75" x14ac:dyDescent="0.25">
      <c r="A1597" s="38">
        <v>25</v>
      </c>
      <c r="B1597" s="34" t="s">
        <v>4</v>
      </c>
      <c r="C1597" s="18" t="s">
        <v>219</v>
      </c>
      <c r="D1597" s="32" t="s">
        <v>968</v>
      </c>
      <c r="E1597" s="5">
        <f>'ПДФО ГРОМАДИ'!M1597</f>
        <v>0</v>
      </c>
      <c r="F1597" s="5">
        <f>'ПДФО ГРОМАДИ'!N1597</f>
        <v>0</v>
      </c>
    </row>
    <row r="1598" spans="1:6" ht="15.75" x14ac:dyDescent="0.25">
      <c r="A1598" s="38">
        <v>25</v>
      </c>
      <c r="B1598" s="34" t="s">
        <v>4</v>
      </c>
      <c r="C1598" s="18" t="s">
        <v>220</v>
      </c>
      <c r="D1598" s="32" t="s">
        <v>969</v>
      </c>
      <c r="E1598" s="5">
        <f>'ПДФО ГРОМАДИ'!M1598</f>
        <v>0</v>
      </c>
      <c r="F1598" s="5">
        <f>'ПДФО ГРОМАДИ'!N1598</f>
        <v>0</v>
      </c>
    </row>
    <row r="1599" spans="1:6" ht="15.75" x14ac:dyDescent="0.25">
      <c r="A1599" s="38">
        <v>25</v>
      </c>
      <c r="B1599" s="34" t="s">
        <v>4</v>
      </c>
      <c r="C1599" s="18" t="s">
        <v>221</v>
      </c>
      <c r="D1599" s="32" t="s">
        <v>910</v>
      </c>
      <c r="E1599" s="5">
        <f>'ПДФО ГРОМАДИ'!M1599</f>
        <v>0</v>
      </c>
      <c r="F1599" s="5">
        <f>'ПДФО ГРОМАДИ'!N1599</f>
        <v>0</v>
      </c>
    </row>
    <row r="1600" spans="1:6" ht="15.75" x14ac:dyDescent="0.25">
      <c r="A1600" s="37">
        <v>25</v>
      </c>
      <c r="B1600" s="19" t="s">
        <v>28</v>
      </c>
      <c r="C1600" s="19" t="s">
        <v>828</v>
      </c>
      <c r="D1600" s="20" t="s">
        <v>2791</v>
      </c>
      <c r="E1600" s="7">
        <f>SUM(E1601:E1657)</f>
        <v>116176.59999999999</v>
      </c>
      <c r="F1600" s="7">
        <f>SUM(F1601:F1657)</f>
        <v>229253</v>
      </c>
    </row>
    <row r="1601" spans="1:6" ht="15.75" x14ac:dyDescent="0.25">
      <c r="A1601" s="38">
        <v>25</v>
      </c>
      <c r="B1601" s="34" t="s">
        <v>984</v>
      </c>
      <c r="C1601" s="18" t="s">
        <v>222</v>
      </c>
      <c r="D1601" s="32" t="s">
        <v>2678</v>
      </c>
      <c r="E1601" s="5">
        <f>'ПДФО ГРОМАДИ'!M1601</f>
        <v>0</v>
      </c>
      <c r="F1601" s="5">
        <f>'ПДФО ГРОМАДИ'!N1601</f>
        <v>4272.7</v>
      </c>
    </row>
    <row r="1602" spans="1:6" ht="15.75" x14ac:dyDescent="0.25">
      <c r="A1602" s="38">
        <v>25</v>
      </c>
      <c r="B1602" s="34" t="s">
        <v>985</v>
      </c>
      <c r="C1602" s="18" t="s">
        <v>277</v>
      </c>
      <c r="D1602" s="32" t="s">
        <v>2679</v>
      </c>
      <c r="E1602" s="5">
        <f>'ПДФО ГРОМАДИ'!M1602</f>
        <v>16438.3</v>
      </c>
      <c r="F1602" s="5">
        <f>'ПДФО ГРОМАДИ'!N1602</f>
        <v>0</v>
      </c>
    </row>
    <row r="1603" spans="1:6" ht="15.75" x14ac:dyDescent="0.25">
      <c r="A1603" s="38">
        <v>25</v>
      </c>
      <c r="B1603" s="34" t="s">
        <v>984</v>
      </c>
      <c r="C1603" s="18" t="s">
        <v>278</v>
      </c>
      <c r="D1603" s="32" t="s">
        <v>2680</v>
      </c>
      <c r="E1603" s="5">
        <f>'ПДФО ГРОМАДИ'!M1603</f>
        <v>0</v>
      </c>
      <c r="F1603" s="5">
        <f>'ПДФО ГРОМАДИ'!N1603</f>
        <v>3940</v>
      </c>
    </row>
    <row r="1604" spans="1:6" ht="15.75" x14ac:dyDescent="0.25">
      <c r="A1604" s="38">
        <v>25</v>
      </c>
      <c r="B1604" s="34" t="s">
        <v>984</v>
      </c>
      <c r="C1604" s="18" t="s">
        <v>279</v>
      </c>
      <c r="D1604" s="32" t="s">
        <v>2681</v>
      </c>
      <c r="E1604" s="5">
        <f>'ПДФО ГРОМАДИ'!M1604</f>
        <v>2355.3000000000002</v>
      </c>
      <c r="F1604" s="5">
        <f>'ПДФО ГРОМАДИ'!N1604</f>
        <v>0</v>
      </c>
    </row>
    <row r="1605" spans="1:6" ht="15.75" x14ac:dyDescent="0.25">
      <c r="A1605" s="38">
        <v>25</v>
      </c>
      <c r="B1605" s="34" t="s">
        <v>985</v>
      </c>
      <c r="C1605" s="18" t="s">
        <v>280</v>
      </c>
      <c r="D1605" s="32" t="s">
        <v>2682</v>
      </c>
      <c r="E1605" s="5">
        <f>'ПДФО ГРОМАДИ'!M1605</f>
        <v>1589.3</v>
      </c>
      <c r="F1605" s="5">
        <f>'ПДФО ГРОМАДИ'!N1605</f>
        <v>0</v>
      </c>
    </row>
    <row r="1606" spans="1:6" ht="15.75" x14ac:dyDescent="0.25">
      <c r="A1606" s="38">
        <v>25</v>
      </c>
      <c r="B1606" s="34" t="s">
        <v>983</v>
      </c>
      <c r="C1606" s="18" t="s">
        <v>456</v>
      </c>
      <c r="D1606" s="32" t="s">
        <v>2683</v>
      </c>
      <c r="E1606" s="5">
        <f>'ПДФО ГРОМАДИ'!M1606</f>
        <v>0</v>
      </c>
      <c r="F1606" s="5">
        <f>'ПДФО ГРОМАДИ'!N1606</f>
        <v>0</v>
      </c>
    </row>
    <row r="1607" spans="1:6" ht="15.75" x14ac:dyDescent="0.25">
      <c r="A1607" s="38">
        <v>25</v>
      </c>
      <c r="B1607" s="34" t="s">
        <v>983</v>
      </c>
      <c r="C1607" s="18" t="s">
        <v>457</v>
      </c>
      <c r="D1607" s="32" t="s">
        <v>2684</v>
      </c>
      <c r="E1607" s="5">
        <f>'ПДФО ГРОМАДИ'!M1607</f>
        <v>0</v>
      </c>
      <c r="F1607" s="5">
        <f>'ПДФО ГРОМАДИ'!N1607</f>
        <v>0</v>
      </c>
    </row>
    <row r="1608" spans="1:6" ht="15.75" x14ac:dyDescent="0.25">
      <c r="A1608" s="38">
        <v>25</v>
      </c>
      <c r="B1608" s="34" t="s">
        <v>983</v>
      </c>
      <c r="C1608" s="18" t="s">
        <v>458</v>
      </c>
      <c r="D1608" s="32" t="s">
        <v>2685</v>
      </c>
      <c r="E1608" s="5">
        <f>'ПДФО ГРОМАДИ'!M1608</f>
        <v>0</v>
      </c>
      <c r="F1608" s="5">
        <f>'ПДФО ГРОМАДИ'!N1608</f>
        <v>13714.9</v>
      </c>
    </row>
    <row r="1609" spans="1:6" ht="15.75" x14ac:dyDescent="0.25">
      <c r="A1609" s="38">
        <v>25</v>
      </c>
      <c r="B1609" s="34" t="s">
        <v>983</v>
      </c>
      <c r="C1609" s="18" t="s">
        <v>459</v>
      </c>
      <c r="D1609" s="32" t="s">
        <v>2686</v>
      </c>
      <c r="E1609" s="5">
        <f>'ПДФО ГРОМАДИ'!M1609</f>
        <v>0</v>
      </c>
      <c r="F1609" s="5">
        <f>'ПДФО ГРОМАДИ'!N1609</f>
        <v>10014.700000000001</v>
      </c>
    </row>
    <row r="1610" spans="1:6" ht="15.75" x14ac:dyDescent="0.25">
      <c r="A1610" s="38">
        <v>25</v>
      </c>
      <c r="B1610" s="34" t="s">
        <v>983</v>
      </c>
      <c r="C1610" s="18" t="s">
        <v>460</v>
      </c>
      <c r="D1610" s="32" t="s">
        <v>2687</v>
      </c>
      <c r="E1610" s="5">
        <f>'ПДФО ГРОМАДИ'!M1610</f>
        <v>0</v>
      </c>
      <c r="F1610" s="5">
        <f>'ПДФО ГРОМАДИ'!N1610</f>
        <v>10671.6</v>
      </c>
    </row>
    <row r="1611" spans="1:6" ht="15.75" x14ac:dyDescent="0.25">
      <c r="A1611" s="38">
        <v>25</v>
      </c>
      <c r="B1611" s="34" t="s">
        <v>985</v>
      </c>
      <c r="C1611" s="18" t="s">
        <v>461</v>
      </c>
      <c r="D1611" s="32" t="s">
        <v>2688</v>
      </c>
      <c r="E1611" s="5">
        <f>'ПДФО ГРОМАДИ'!M1611</f>
        <v>11976.9</v>
      </c>
      <c r="F1611" s="5">
        <f>'ПДФО ГРОМАДИ'!N1611</f>
        <v>0</v>
      </c>
    </row>
    <row r="1612" spans="1:6" ht="15.75" x14ac:dyDescent="0.25">
      <c r="A1612" s="38">
        <v>25</v>
      </c>
      <c r="B1612" s="34" t="s">
        <v>985</v>
      </c>
      <c r="C1612" s="18" t="s">
        <v>462</v>
      </c>
      <c r="D1612" s="32" t="s">
        <v>2689</v>
      </c>
      <c r="E1612" s="5">
        <f>'ПДФО ГРОМАДИ'!M1612</f>
        <v>0</v>
      </c>
      <c r="F1612" s="5">
        <f>'ПДФО ГРОМАДИ'!N1612</f>
        <v>10056.9</v>
      </c>
    </row>
    <row r="1613" spans="1:6" ht="15.75" x14ac:dyDescent="0.25">
      <c r="A1613" s="38">
        <v>25</v>
      </c>
      <c r="B1613" s="34" t="s">
        <v>985</v>
      </c>
      <c r="C1613" s="18" t="s">
        <v>463</v>
      </c>
      <c r="D1613" s="32" t="s">
        <v>2690</v>
      </c>
      <c r="E1613" s="5">
        <f>'ПДФО ГРОМАДИ'!M1613</f>
        <v>0</v>
      </c>
      <c r="F1613" s="5">
        <f>'ПДФО ГРОМАДИ'!N1613</f>
        <v>9657.7999999999993</v>
      </c>
    </row>
    <row r="1614" spans="1:6" ht="15.75" x14ac:dyDescent="0.25">
      <c r="A1614" s="38">
        <v>25</v>
      </c>
      <c r="B1614" s="34" t="s">
        <v>985</v>
      </c>
      <c r="C1614" s="18" t="s">
        <v>464</v>
      </c>
      <c r="D1614" s="32" t="s">
        <v>2691</v>
      </c>
      <c r="E1614" s="5">
        <f>'ПДФО ГРОМАДИ'!M1614</f>
        <v>0</v>
      </c>
      <c r="F1614" s="5">
        <f>'ПДФО ГРОМАДИ'!N1614</f>
        <v>3826.3</v>
      </c>
    </row>
    <row r="1615" spans="1:6" ht="15.75" x14ac:dyDescent="0.25">
      <c r="A1615" s="38">
        <v>25</v>
      </c>
      <c r="B1615" s="34" t="s">
        <v>984</v>
      </c>
      <c r="C1615" s="18" t="s">
        <v>465</v>
      </c>
      <c r="D1615" s="32" t="s">
        <v>2365</v>
      </c>
      <c r="E1615" s="5">
        <f>'ПДФО ГРОМАДИ'!M1615</f>
        <v>0</v>
      </c>
      <c r="F1615" s="5">
        <f>'ПДФО ГРОМАДИ'!N1615</f>
        <v>9260.2999999999993</v>
      </c>
    </row>
    <row r="1616" spans="1:6" ht="15.75" x14ac:dyDescent="0.25">
      <c r="A1616" s="38">
        <v>25</v>
      </c>
      <c r="B1616" s="34" t="s">
        <v>984</v>
      </c>
      <c r="C1616" s="18" t="s">
        <v>466</v>
      </c>
      <c r="D1616" s="32" t="s">
        <v>2692</v>
      </c>
      <c r="E1616" s="5">
        <f>'ПДФО ГРОМАДИ'!M1616</f>
        <v>0</v>
      </c>
      <c r="F1616" s="5">
        <f>'ПДФО ГРОМАДИ'!N1616</f>
        <v>665.7</v>
      </c>
    </row>
    <row r="1617" spans="1:6" ht="15.75" x14ac:dyDescent="0.25">
      <c r="A1617" s="38">
        <v>25</v>
      </c>
      <c r="B1617" s="34" t="s">
        <v>983</v>
      </c>
      <c r="C1617" s="18" t="s">
        <v>507</v>
      </c>
      <c r="D1617" s="32" t="s">
        <v>2693</v>
      </c>
      <c r="E1617" s="5">
        <f>'ПДФО ГРОМАДИ'!M1617</f>
        <v>0</v>
      </c>
      <c r="F1617" s="5">
        <f>'ПДФО ГРОМАДИ'!N1617</f>
        <v>7746.7</v>
      </c>
    </row>
    <row r="1618" spans="1:6" ht="15.75" x14ac:dyDescent="0.25">
      <c r="A1618" s="38">
        <v>25</v>
      </c>
      <c r="B1618" s="34" t="s">
        <v>985</v>
      </c>
      <c r="C1618" s="18" t="s">
        <v>508</v>
      </c>
      <c r="D1618" s="32" t="s">
        <v>2694</v>
      </c>
      <c r="E1618" s="5">
        <f>'ПДФО ГРОМАДИ'!M1618</f>
        <v>0</v>
      </c>
      <c r="F1618" s="5">
        <f>'ПДФО ГРОМАДИ'!N1618</f>
        <v>0</v>
      </c>
    </row>
    <row r="1619" spans="1:6" ht="15.75" x14ac:dyDescent="0.25">
      <c r="A1619" s="38">
        <v>25</v>
      </c>
      <c r="B1619" s="34" t="s">
        <v>984</v>
      </c>
      <c r="C1619" s="18" t="s">
        <v>509</v>
      </c>
      <c r="D1619" s="32" t="s">
        <v>2695</v>
      </c>
      <c r="E1619" s="5">
        <f>'ПДФО ГРОМАДИ'!M1619</f>
        <v>0</v>
      </c>
      <c r="F1619" s="5">
        <f>'ПДФО ГРОМАДИ'!N1619</f>
        <v>0</v>
      </c>
    </row>
    <row r="1620" spans="1:6" ht="15.75" x14ac:dyDescent="0.25">
      <c r="A1620" s="38">
        <v>25</v>
      </c>
      <c r="B1620" s="34" t="s">
        <v>984</v>
      </c>
      <c r="C1620" s="18" t="s">
        <v>662</v>
      </c>
      <c r="D1620" s="32" t="s">
        <v>2696</v>
      </c>
      <c r="E1620" s="5">
        <f>'ПДФО ГРОМАДИ'!M1620</f>
        <v>3617.4</v>
      </c>
      <c r="F1620" s="5">
        <f>'ПДФО ГРОМАДИ'!N1620</f>
        <v>0</v>
      </c>
    </row>
    <row r="1621" spans="1:6" ht="15.75" x14ac:dyDescent="0.25">
      <c r="A1621" s="38">
        <v>25</v>
      </c>
      <c r="B1621" s="34" t="s">
        <v>983</v>
      </c>
      <c r="C1621" s="18" t="s">
        <v>663</v>
      </c>
      <c r="D1621" s="32" t="s">
        <v>2697</v>
      </c>
      <c r="E1621" s="5">
        <f>'ПДФО ГРОМАДИ'!M1621</f>
        <v>853</v>
      </c>
      <c r="F1621" s="5">
        <f>'ПДФО ГРОМАДИ'!N1621</f>
        <v>0</v>
      </c>
    </row>
    <row r="1622" spans="1:6" ht="15.75" x14ac:dyDescent="0.25">
      <c r="A1622" s="38">
        <v>25</v>
      </c>
      <c r="B1622" s="34" t="s">
        <v>984</v>
      </c>
      <c r="C1622" s="18" t="s">
        <v>664</v>
      </c>
      <c r="D1622" s="32" t="s">
        <v>2698</v>
      </c>
      <c r="E1622" s="5">
        <f>'ПДФО ГРОМАДИ'!M1622</f>
        <v>0</v>
      </c>
      <c r="F1622" s="5">
        <f>'ПДФО ГРОМАДИ'!N1622</f>
        <v>43.6</v>
      </c>
    </row>
    <row r="1623" spans="1:6" ht="15.75" x14ac:dyDescent="0.25">
      <c r="A1623" s="38">
        <v>25</v>
      </c>
      <c r="B1623" s="34" t="s">
        <v>984</v>
      </c>
      <c r="C1623" s="18" t="s">
        <v>665</v>
      </c>
      <c r="D1623" s="32" t="s">
        <v>2699</v>
      </c>
      <c r="E1623" s="5">
        <f>'ПДФО ГРОМАДИ'!M1623</f>
        <v>0</v>
      </c>
      <c r="F1623" s="5">
        <f>'ПДФО ГРОМАДИ'!N1623</f>
        <v>29</v>
      </c>
    </row>
    <row r="1624" spans="1:6" ht="15.75" x14ac:dyDescent="0.25">
      <c r="A1624" s="38">
        <v>25</v>
      </c>
      <c r="B1624" s="34" t="s">
        <v>983</v>
      </c>
      <c r="C1624" s="18" t="s">
        <v>666</v>
      </c>
      <c r="D1624" s="32" t="s">
        <v>2700</v>
      </c>
      <c r="E1624" s="5">
        <f>'ПДФО ГРОМАДИ'!M1624</f>
        <v>0</v>
      </c>
      <c r="F1624" s="5">
        <f>'ПДФО ГРОМАДИ'!N1624</f>
        <v>0</v>
      </c>
    </row>
    <row r="1625" spans="1:6" ht="15.75" x14ac:dyDescent="0.25">
      <c r="A1625" s="38">
        <v>25</v>
      </c>
      <c r="B1625" s="34" t="s">
        <v>985</v>
      </c>
      <c r="C1625" s="18" t="s">
        <v>667</v>
      </c>
      <c r="D1625" s="32" t="s">
        <v>2837</v>
      </c>
      <c r="E1625" s="5">
        <f>'ПДФО ГРОМАДИ'!M1625</f>
        <v>0</v>
      </c>
      <c r="F1625" s="5">
        <f>'ПДФО ГРОМАДИ'!N1625</f>
        <v>7064.9</v>
      </c>
    </row>
    <row r="1626" spans="1:6" ht="15.75" x14ac:dyDescent="0.25">
      <c r="A1626" s="38">
        <v>25</v>
      </c>
      <c r="B1626" s="34" t="s">
        <v>985</v>
      </c>
      <c r="C1626" s="18" t="s">
        <v>668</v>
      </c>
      <c r="D1626" s="32" t="s">
        <v>2701</v>
      </c>
      <c r="E1626" s="5">
        <f>'ПДФО ГРОМАДИ'!M1626</f>
        <v>0</v>
      </c>
      <c r="F1626" s="5">
        <f>'ПДФО ГРОМАДИ'!N1626</f>
        <v>0</v>
      </c>
    </row>
    <row r="1627" spans="1:6" ht="15.75" x14ac:dyDescent="0.25">
      <c r="A1627" s="38">
        <v>25</v>
      </c>
      <c r="B1627" s="34" t="s">
        <v>985</v>
      </c>
      <c r="C1627" s="18" t="s">
        <v>669</v>
      </c>
      <c r="D1627" s="32" t="s">
        <v>2702</v>
      </c>
      <c r="E1627" s="5">
        <f>'ПДФО ГРОМАДИ'!M1627</f>
        <v>0</v>
      </c>
      <c r="F1627" s="5">
        <f>'ПДФО ГРОМАДИ'!N1627</f>
        <v>1876.5</v>
      </c>
    </row>
    <row r="1628" spans="1:6" ht="15.75" x14ac:dyDescent="0.25">
      <c r="A1628" s="38">
        <v>25</v>
      </c>
      <c r="B1628" s="34" t="s">
        <v>983</v>
      </c>
      <c r="C1628" s="18" t="s">
        <v>670</v>
      </c>
      <c r="D1628" s="32" t="s">
        <v>2703</v>
      </c>
      <c r="E1628" s="5">
        <f>'ПДФО ГРОМАДИ'!M1628</f>
        <v>0</v>
      </c>
      <c r="F1628" s="5">
        <f>'ПДФО ГРОМАДИ'!N1628</f>
        <v>8131.6</v>
      </c>
    </row>
    <row r="1629" spans="1:6" ht="15.75" x14ac:dyDescent="0.25">
      <c r="A1629" s="38">
        <v>25</v>
      </c>
      <c r="B1629" s="34" t="s">
        <v>985</v>
      </c>
      <c r="C1629" s="18" t="s">
        <v>671</v>
      </c>
      <c r="D1629" s="32" t="s">
        <v>2704</v>
      </c>
      <c r="E1629" s="5">
        <f>'ПДФО ГРОМАДИ'!M1629</f>
        <v>0</v>
      </c>
      <c r="F1629" s="5">
        <f>'ПДФО ГРОМАДИ'!N1629</f>
        <v>11992.2</v>
      </c>
    </row>
    <row r="1630" spans="1:6" ht="15.75" x14ac:dyDescent="0.25">
      <c r="A1630" s="38">
        <v>25</v>
      </c>
      <c r="B1630" s="34" t="s">
        <v>985</v>
      </c>
      <c r="C1630" s="18" t="s">
        <v>672</v>
      </c>
      <c r="D1630" s="32" t="s">
        <v>2705</v>
      </c>
      <c r="E1630" s="5">
        <f>'ПДФО ГРОМАДИ'!M1630</f>
        <v>4312.7</v>
      </c>
      <c r="F1630" s="5">
        <f>'ПДФО ГРОМАДИ'!N1630</f>
        <v>0</v>
      </c>
    </row>
    <row r="1631" spans="1:6" ht="15.75" x14ac:dyDescent="0.25">
      <c r="A1631" s="38">
        <v>25</v>
      </c>
      <c r="B1631" s="34" t="s">
        <v>985</v>
      </c>
      <c r="C1631" s="18" t="s">
        <v>673</v>
      </c>
      <c r="D1631" s="32" t="s">
        <v>2706</v>
      </c>
      <c r="E1631" s="5">
        <f>'ПДФО ГРОМАДИ'!M1631</f>
        <v>0</v>
      </c>
      <c r="F1631" s="5">
        <f>'ПДФО ГРОМАДИ'!N1631</f>
        <v>0</v>
      </c>
    </row>
    <row r="1632" spans="1:6" ht="15.75" x14ac:dyDescent="0.25">
      <c r="A1632" s="38">
        <v>25</v>
      </c>
      <c r="B1632" s="34" t="s">
        <v>985</v>
      </c>
      <c r="C1632" s="18" t="s">
        <v>674</v>
      </c>
      <c r="D1632" s="32" t="s">
        <v>2707</v>
      </c>
      <c r="E1632" s="5">
        <f>'ПДФО ГРОМАДИ'!M1632</f>
        <v>0</v>
      </c>
      <c r="F1632" s="5">
        <f>'ПДФО ГРОМАДИ'!N1632</f>
        <v>4561.5</v>
      </c>
    </row>
    <row r="1633" spans="1:6" ht="15.75" x14ac:dyDescent="0.25">
      <c r="A1633" s="38">
        <v>25</v>
      </c>
      <c r="B1633" s="34" t="s">
        <v>985</v>
      </c>
      <c r="C1633" s="18" t="s">
        <v>675</v>
      </c>
      <c r="D1633" s="32" t="s">
        <v>2708</v>
      </c>
      <c r="E1633" s="5">
        <f>'ПДФО ГРОМАДИ'!M1633</f>
        <v>1818.4</v>
      </c>
      <c r="F1633" s="5">
        <f>'ПДФО ГРОМАДИ'!N1633</f>
        <v>0</v>
      </c>
    </row>
    <row r="1634" spans="1:6" ht="15.75" x14ac:dyDescent="0.25">
      <c r="A1634" s="38">
        <v>25</v>
      </c>
      <c r="B1634" s="34" t="s">
        <v>984</v>
      </c>
      <c r="C1634" s="18" t="s">
        <v>728</v>
      </c>
      <c r="D1634" s="32" t="s">
        <v>2709</v>
      </c>
      <c r="E1634" s="5">
        <f>'ПДФО ГРОМАДИ'!M1634</f>
        <v>0</v>
      </c>
      <c r="F1634" s="5">
        <f>'ПДФО ГРОМАДИ'!N1634</f>
        <v>4929.6000000000004</v>
      </c>
    </row>
    <row r="1635" spans="1:6" ht="15.75" x14ac:dyDescent="0.25">
      <c r="A1635" s="38">
        <v>25</v>
      </c>
      <c r="B1635" s="34" t="s">
        <v>985</v>
      </c>
      <c r="C1635" s="18" t="s">
        <v>729</v>
      </c>
      <c r="D1635" s="32" t="s">
        <v>2710</v>
      </c>
      <c r="E1635" s="5">
        <f>'ПДФО ГРОМАДИ'!M1635</f>
        <v>10903.5</v>
      </c>
      <c r="F1635" s="5">
        <f>'ПДФО ГРОМАДИ'!N1635</f>
        <v>0</v>
      </c>
    </row>
    <row r="1636" spans="1:6" ht="15.75" x14ac:dyDescent="0.25">
      <c r="A1636" s="38">
        <v>25</v>
      </c>
      <c r="B1636" s="34" t="s">
        <v>983</v>
      </c>
      <c r="C1636" s="18" t="s">
        <v>730</v>
      </c>
      <c r="D1636" s="32" t="s">
        <v>2711</v>
      </c>
      <c r="E1636" s="5">
        <f>'ПДФО ГРОМАДИ'!M1636</f>
        <v>0</v>
      </c>
      <c r="F1636" s="5">
        <f>'ПДФО ГРОМАДИ'!N1636</f>
        <v>17229.8</v>
      </c>
    </row>
    <row r="1637" spans="1:6" ht="15.75" x14ac:dyDescent="0.25">
      <c r="A1637" s="38">
        <v>25</v>
      </c>
      <c r="B1637" s="34" t="s">
        <v>985</v>
      </c>
      <c r="C1637" s="18" t="s">
        <v>731</v>
      </c>
      <c r="D1637" s="32" t="s">
        <v>2712</v>
      </c>
      <c r="E1637" s="5">
        <f>'ПДФО ГРОМАДИ'!M1637</f>
        <v>204.5</v>
      </c>
      <c r="F1637" s="5">
        <f>'ПДФО ГРОМАДИ'!N1637</f>
        <v>0</v>
      </c>
    </row>
    <row r="1638" spans="1:6" ht="15.75" x14ac:dyDescent="0.25">
      <c r="A1638" s="38">
        <v>25</v>
      </c>
      <c r="B1638" s="34" t="s">
        <v>986</v>
      </c>
      <c r="C1638" s="18">
        <v>25538000000</v>
      </c>
      <c r="D1638" s="32" t="s">
        <v>2713</v>
      </c>
      <c r="E1638" s="5">
        <f>'ПДФО ГРОМАДИ'!M1638</f>
        <v>0</v>
      </c>
      <c r="F1638" s="5">
        <f>'ПДФО ГРОМАДИ'!N1638</f>
        <v>2871.4</v>
      </c>
    </row>
    <row r="1639" spans="1:6" ht="15.75" x14ac:dyDescent="0.25">
      <c r="A1639" s="38">
        <v>25</v>
      </c>
      <c r="B1639" s="34" t="s">
        <v>986</v>
      </c>
      <c r="C1639" s="18">
        <v>25539000000</v>
      </c>
      <c r="D1639" s="32" t="s">
        <v>2714</v>
      </c>
      <c r="E1639" s="5">
        <f>'ПДФО ГРОМАДИ'!M1639</f>
        <v>0</v>
      </c>
      <c r="F1639" s="5">
        <f>'ПДФО ГРОМАДИ'!N1639</f>
        <v>9220.2999999999993</v>
      </c>
    </row>
    <row r="1640" spans="1:6" ht="15.75" x14ac:dyDescent="0.25">
      <c r="A1640" s="38">
        <v>25</v>
      </c>
      <c r="B1640" s="34" t="s">
        <v>983</v>
      </c>
      <c r="C1640" s="18">
        <v>25540000000</v>
      </c>
      <c r="D1640" s="32" t="s">
        <v>2715</v>
      </c>
      <c r="E1640" s="5">
        <f>'ПДФО ГРОМАДИ'!M1640</f>
        <v>0</v>
      </c>
      <c r="F1640" s="5">
        <f>'ПДФО ГРОМАДИ'!N1640</f>
        <v>7579</v>
      </c>
    </row>
    <row r="1641" spans="1:6" ht="15.75" x14ac:dyDescent="0.25">
      <c r="A1641" s="38">
        <v>25</v>
      </c>
      <c r="B1641" s="34" t="s">
        <v>984</v>
      </c>
      <c r="C1641" s="18">
        <v>25541000000</v>
      </c>
      <c r="D1641" s="32" t="s">
        <v>2716</v>
      </c>
      <c r="E1641" s="5">
        <f>'ПДФО ГРОМАДИ'!M1641</f>
        <v>0</v>
      </c>
      <c r="F1641" s="5">
        <f>'ПДФО ГРОМАДИ'!N1641</f>
        <v>0</v>
      </c>
    </row>
    <row r="1642" spans="1:6" ht="15.75" x14ac:dyDescent="0.25">
      <c r="A1642" s="38">
        <v>25</v>
      </c>
      <c r="B1642" s="34" t="s">
        <v>984</v>
      </c>
      <c r="C1642" s="18">
        <v>25542000000</v>
      </c>
      <c r="D1642" s="32" t="s">
        <v>2717</v>
      </c>
      <c r="E1642" s="5">
        <f>'ПДФО ГРОМАДИ'!M1642</f>
        <v>0</v>
      </c>
      <c r="F1642" s="5">
        <f>'ПДФО ГРОМАДИ'!N1642</f>
        <v>6756.8</v>
      </c>
    </row>
    <row r="1643" spans="1:6" ht="15.75" x14ac:dyDescent="0.25">
      <c r="A1643" s="38">
        <v>25</v>
      </c>
      <c r="B1643" s="34" t="s">
        <v>985</v>
      </c>
      <c r="C1643" s="18">
        <v>25546000000</v>
      </c>
      <c r="D1643" s="32" t="s">
        <v>2718</v>
      </c>
      <c r="E1643" s="5">
        <f>'ПДФО ГРОМАДИ'!M1643</f>
        <v>0</v>
      </c>
      <c r="F1643" s="5">
        <f>'ПДФО ГРОМАДИ'!N1643</f>
        <v>1272</v>
      </c>
    </row>
    <row r="1644" spans="1:6" ht="15.75" x14ac:dyDescent="0.25">
      <c r="A1644" s="38">
        <v>25</v>
      </c>
      <c r="B1644" s="34" t="s">
        <v>984</v>
      </c>
      <c r="C1644" s="18">
        <v>25547000000</v>
      </c>
      <c r="D1644" s="32" t="s">
        <v>2719</v>
      </c>
      <c r="E1644" s="5">
        <f>'ПДФО ГРОМАДИ'!M1644</f>
        <v>0</v>
      </c>
      <c r="F1644" s="5">
        <f>'ПДФО ГРОМАДИ'!N1644</f>
        <v>0</v>
      </c>
    </row>
    <row r="1645" spans="1:6" ht="15.75" x14ac:dyDescent="0.25">
      <c r="A1645" s="38">
        <v>25</v>
      </c>
      <c r="B1645" s="34" t="s">
        <v>985</v>
      </c>
      <c r="C1645" s="18">
        <v>25548000000</v>
      </c>
      <c r="D1645" s="32" t="s">
        <v>2720</v>
      </c>
      <c r="E1645" s="5">
        <f>'ПДФО ГРОМАДИ'!M1645</f>
        <v>0</v>
      </c>
      <c r="F1645" s="5">
        <f>'ПДФО ГРОМАДИ'!N1645</f>
        <v>10083.799999999999</v>
      </c>
    </row>
    <row r="1646" spans="1:6" ht="15.75" x14ac:dyDescent="0.25">
      <c r="A1646" s="38">
        <v>25</v>
      </c>
      <c r="B1646" s="34" t="s">
        <v>984</v>
      </c>
      <c r="C1646" s="18">
        <v>25549000000</v>
      </c>
      <c r="D1646" s="32" t="s">
        <v>2721</v>
      </c>
      <c r="E1646" s="5">
        <f>'ПДФО ГРОМАДИ'!M1646</f>
        <v>0</v>
      </c>
      <c r="F1646" s="5">
        <f>'ПДФО ГРОМАДИ'!N1646</f>
        <v>7035</v>
      </c>
    </row>
    <row r="1647" spans="1:6" ht="15.75" x14ac:dyDescent="0.25">
      <c r="A1647" s="38">
        <v>25</v>
      </c>
      <c r="B1647" s="34" t="s">
        <v>984</v>
      </c>
      <c r="C1647" s="18">
        <v>25550000000</v>
      </c>
      <c r="D1647" s="32" t="s">
        <v>2722</v>
      </c>
      <c r="E1647" s="5">
        <f>'ПДФО ГРОМАДИ'!M1647</f>
        <v>0</v>
      </c>
      <c r="F1647" s="5">
        <f>'ПДФО ГРОМАДИ'!N1647</f>
        <v>6625.6</v>
      </c>
    </row>
    <row r="1648" spans="1:6" ht="15.75" x14ac:dyDescent="0.25">
      <c r="A1648" s="38">
        <v>25</v>
      </c>
      <c r="B1648" s="34" t="s">
        <v>983</v>
      </c>
      <c r="C1648" s="18">
        <v>25551000000</v>
      </c>
      <c r="D1648" s="32" t="s">
        <v>2723</v>
      </c>
      <c r="E1648" s="5">
        <f>'ПДФО ГРОМАДИ'!M1648</f>
        <v>0</v>
      </c>
      <c r="F1648" s="5">
        <f>'ПДФО ГРОМАДИ'!N1648</f>
        <v>0</v>
      </c>
    </row>
    <row r="1649" spans="1:6" ht="15.75" x14ac:dyDescent="0.25">
      <c r="A1649" s="38">
        <v>25</v>
      </c>
      <c r="B1649" s="34" t="s">
        <v>985</v>
      </c>
      <c r="C1649" s="18">
        <v>25552000000</v>
      </c>
      <c r="D1649" s="32" t="s">
        <v>2724</v>
      </c>
      <c r="E1649" s="5">
        <f>'ПДФО ГРОМАДИ'!M1649</f>
        <v>0</v>
      </c>
      <c r="F1649" s="5">
        <f>'ПДФО ГРОМАДИ'!N1649</f>
        <v>10274.1</v>
      </c>
    </row>
    <row r="1650" spans="1:6" ht="15.75" x14ac:dyDescent="0.25">
      <c r="A1650" s="38">
        <v>25</v>
      </c>
      <c r="B1650" s="34" t="s">
        <v>985</v>
      </c>
      <c r="C1650" s="18">
        <v>25553000000</v>
      </c>
      <c r="D1650" s="32" t="s">
        <v>2733</v>
      </c>
      <c r="E1650" s="5">
        <f>'ПДФО ГРОМАДИ'!M1650</f>
        <v>0</v>
      </c>
      <c r="F1650" s="5">
        <f>'ПДФО ГРОМАДИ'!N1650</f>
        <v>297</v>
      </c>
    </row>
    <row r="1651" spans="1:6" ht="15.75" x14ac:dyDescent="0.25">
      <c r="A1651" s="38">
        <v>25</v>
      </c>
      <c r="B1651" s="34" t="s">
        <v>984</v>
      </c>
      <c r="C1651" s="18">
        <v>25554000000</v>
      </c>
      <c r="D1651" s="32" t="s">
        <v>2725</v>
      </c>
      <c r="E1651" s="5">
        <f>'ПДФО ГРОМАДИ'!M1651</f>
        <v>0</v>
      </c>
      <c r="F1651" s="5">
        <f>'ПДФО ГРОМАДИ'!N1651</f>
        <v>4601.3999999999996</v>
      </c>
    </row>
    <row r="1652" spans="1:6" ht="15.75" x14ac:dyDescent="0.25">
      <c r="A1652" s="38">
        <v>25</v>
      </c>
      <c r="B1652" s="34" t="s">
        <v>985</v>
      </c>
      <c r="C1652" s="18">
        <v>25555000000</v>
      </c>
      <c r="D1652" s="32" t="s">
        <v>2726</v>
      </c>
      <c r="E1652" s="5">
        <f>'ПДФО ГРОМАДИ'!M1652</f>
        <v>0</v>
      </c>
      <c r="F1652" s="5">
        <f>'ПДФО ГРОМАДИ'!N1652</f>
        <v>7445.5</v>
      </c>
    </row>
    <row r="1653" spans="1:6" ht="15.75" x14ac:dyDescent="0.25">
      <c r="A1653" s="38">
        <v>25</v>
      </c>
      <c r="B1653" s="34" t="s">
        <v>986</v>
      </c>
      <c r="C1653" s="18">
        <v>25556000000</v>
      </c>
      <c r="D1653" s="32" t="s">
        <v>2727</v>
      </c>
      <c r="E1653" s="5">
        <f>'ПДФО ГРОМАДИ'!M1653</f>
        <v>13417.8</v>
      </c>
      <c r="F1653" s="5">
        <f>'ПДФО ГРОМАДИ'!N1653</f>
        <v>0</v>
      </c>
    </row>
    <row r="1654" spans="1:6" ht="15.75" x14ac:dyDescent="0.25">
      <c r="A1654" s="38">
        <v>25</v>
      </c>
      <c r="B1654" s="34" t="s">
        <v>985</v>
      </c>
      <c r="C1654" s="18">
        <v>25557000000</v>
      </c>
      <c r="D1654" s="32" t="s">
        <v>2728</v>
      </c>
      <c r="E1654" s="5">
        <f>'ПДФО ГРОМАДИ'!M1654</f>
        <v>0</v>
      </c>
      <c r="F1654" s="5">
        <f>'ПДФО ГРОМАДИ'!N1654</f>
        <v>10042.6</v>
      </c>
    </row>
    <row r="1655" spans="1:6" ht="15.75" x14ac:dyDescent="0.25">
      <c r="A1655" s="38">
        <v>25</v>
      </c>
      <c r="B1655" s="34" t="s">
        <v>985</v>
      </c>
      <c r="C1655" s="18">
        <v>25558000000</v>
      </c>
      <c r="D1655" s="32" t="s">
        <v>2729</v>
      </c>
      <c r="E1655" s="5">
        <f>'ПДФО ГРОМАДИ'!M1655</f>
        <v>0</v>
      </c>
      <c r="F1655" s="5">
        <f>'ПДФО ГРОМАДИ'!N1655</f>
        <v>4557.7</v>
      </c>
    </row>
    <row r="1656" spans="1:6" ht="15.75" x14ac:dyDescent="0.25">
      <c r="A1656" s="38">
        <v>25</v>
      </c>
      <c r="B1656" s="34" t="s">
        <v>986</v>
      </c>
      <c r="C1656" s="18">
        <v>25559000000</v>
      </c>
      <c r="D1656" s="32" t="s">
        <v>2730</v>
      </c>
      <c r="E1656" s="5">
        <f>'ПДФО ГРОМАДИ'!M1656</f>
        <v>48689.5</v>
      </c>
      <c r="F1656" s="5">
        <f>'ПДФО ГРОМАДИ'!N1656</f>
        <v>0</v>
      </c>
    </row>
    <row r="1657" spans="1:6" ht="15.75" x14ac:dyDescent="0.25">
      <c r="A1657" s="38">
        <v>25</v>
      </c>
      <c r="B1657" s="34" t="s">
        <v>984</v>
      </c>
      <c r="C1657" s="18">
        <v>25560000000</v>
      </c>
      <c r="D1657" s="32" t="s">
        <v>2731</v>
      </c>
      <c r="E1657" s="5">
        <f>'ПДФО ГРОМАДИ'!M1657</f>
        <v>0</v>
      </c>
      <c r="F1657" s="5">
        <f>'ПДФО ГРОМАДИ'!N1657</f>
        <v>904.5</v>
      </c>
    </row>
    <row r="1658" spans="1:6" ht="15.75" x14ac:dyDescent="0.25">
      <c r="A1658" s="36">
        <v>26</v>
      </c>
      <c r="B1658" s="17" t="s">
        <v>7</v>
      </c>
      <c r="C1658" s="17" t="s">
        <v>223</v>
      </c>
      <c r="D1658" s="11" t="s">
        <v>881</v>
      </c>
      <c r="E1658" s="11">
        <f>'ПДФО ГРОМАДИ'!M1658</f>
        <v>0</v>
      </c>
      <c r="F1658" s="11">
        <f>'ПДФО ГРОМАДИ'!N1658</f>
        <v>0</v>
      </c>
    </row>
    <row r="1659" spans="1:6" ht="15.75" x14ac:dyDescent="0.25">
      <c r="A1659" s="40" t="s">
        <v>3</v>
      </c>
      <c r="B1659" s="41" t="s">
        <v>7</v>
      </c>
      <c r="C1659" s="42">
        <v>95000000000</v>
      </c>
      <c r="D1659" s="43" t="s">
        <v>993</v>
      </c>
      <c r="E1659" s="48">
        <f>E5+E78+E140+E237+E292+E366+E440+E516+E588+E668+E725+E759+E843+E903+E1005+E1073+E1145+E1205+E1267+E1334+E1392+E1459+E1533+E1592</f>
        <v>10792834.300000001</v>
      </c>
      <c r="F1659" s="48">
        <f>F5+F78+F140+F237+F292+F366+F440+F516+F588+F668+F725+F759+F843+F903+F1005+F1073+F1145+F1205+F1267+F1334+F1392+F1459+F1533+F1592</f>
        <v>16294154.299999997</v>
      </c>
    </row>
    <row r="1660" spans="1:6" ht="15.75" x14ac:dyDescent="0.25">
      <c r="A1660" s="44" t="s">
        <v>3</v>
      </c>
      <c r="B1660" s="45" t="s">
        <v>7</v>
      </c>
      <c r="C1660" s="16">
        <v>96000000000</v>
      </c>
      <c r="D1660" s="5" t="s">
        <v>994</v>
      </c>
      <c r="E1660" s="49"/>
      <c r="F1660" s="49"/>
    </row>
    <row r="1661" spans="1:6" ht="15.75" x14ac:dyDescent="0.25">
      <c r="A1661" s="44" t="s">
        <v>3</v>
      </c>
      <c r="B1661" s="45" t="s">
        <v>7</v>
      </c>
      <c r="C1661" s="16">
        <v>97000000000</v>
      </c>
      <c r="D1661" s="5" t="s">
        <v>995</v>
      </c>
      <c r="E1661" s="49"/>
      <c r="F1661" s="49"/>
    </row>
    <row r="1662" spans="1:6" ht="47.25" x14ac:dyDescent="0.25">
      <c r="A1662" s="44" t="s">
        <v>3</v>
      </c>
      <c r="B1662" s="45" t="s">
        <v>7</v>
      </c>
      <c r="C1662" s="16">
        <v>98000000000</v>
      </c>
      <c r="D1662" s="5" t="s">
        <v>996</v>
      </c>
      <c r="E1662" s="49"/>
      <c r="F1662" s="49"/>
    </row>
    <row r="1663" spans="1:6" ht="15.75" x14ac:dyDescent="0.25">
      <c r="A1663" s="46" t="s">
        <v>3</v>
      </c>
      <c r="B1663" s="46" t="s">
        <v>7</v>
      </c>
      <c r="C1663" s="47">
        <v>99000000000</v>
      </c>
      <c r="D1663" s="43" t="s">
        <v>997</v>
      </c>
      <c r="E1663" s="48">
        <f>E1659+E1660+E1661+E1662</f>
        <v>10792834.300000001</v>
      </c>
      <c r="F1663" s="48">
        <f>F1659+F1660+F1661+F1662</f>
        <v>16294154.299999997</v>
      </c>
    </row>
    <row r="1667" spans="5:6" x14ac:dyDescent="0.25">
      <c r="E1667">
        <f>'ПДФО ГРОМАДИ'!M1659+'ПДФО ОБЛАСНІ'!K29+'ПОДАТОК НА ПРИБУТОК'!K29</f>
        <v>10792834.300000001</v>
      </c>
      <c r="F1667">
        <f>'ПДФО ГРОМАДИ'!N1659+'ПДФО ОБЛАСНІ'!L29+'ПОДАТОК НА ПРИБУТОК'!L29</f>
        <v>16294154.300000001</v>
      </c>
    </row>
    <row r="1668" spans="5:6" x14ac:dyDescent="0.25">
      <c r="E1668" s="4">
        <f>'ПДФО ГРОМАДИ'!M1659+'ПДФО ОБЛАСНІ'!K29+'ПОДАТОК НА ПРИБУТОК'!K29</f>
        <v>10792834.300000001</v>
      </c>
      <c r="F1668" s="4">
        <f>'ПДФО ГРОМАДИ'!N1659+'ПДФО ОБЛАСНІ'!L29+'ПОДАТОК НА ПРИБУТОК'!L29</f>
        <v>16294154.300000001</v>
      </c>
    </row>
    <row r="1669" spans="5:6" x14ac:dyDescent="0.25">
      <c r="E1669" s="4">
        <f>E1668-E1659</f>
        <v>0</v>
      </c>
      <c r="F1669" s="4">
        <f>F1668-F1659</f>
        <v>0</v>
      </c>
    </row>
    <row r="1875" spans="1:6" s="75" customFormat="1" x14ac:dyDescent="0.25">
      <c r="A1875"/>
      <c r="B1875"/>
      <c r="C1875"/>
      <c r="D1875"/>
      <c r="E1875"/>
      <c r="F1875"/>
    </row>
    <row r="1876" spans="1:6" s="75" customFormat="1" x14ac:dyDescent="0.25">
      <c r="A1876"/>
      <c r="B1876"/>
      <c r="C1876"/>
      <c r="D1876"/>
      <c r="E1876"/>
      <c r="F1876"/>
    </row>
    <row r="1877" spans="1:6" s="75" customFormat="1" x14ac:dyDescent="0.25">
      <c r="A1877"/>
      <c r="B1877"/>
      <c r="C1877"/>
      <c r="D1877"/>
      <c r="E1877"/>
      <c r="F1877"/>
    </row>
    <row r="1878" spans="1:6" s="75" customFormat="1" x14ac:dyDescent="0.25">
      <c r="A1878"/>
      <c r="B1878"/>
      <c r="C1878"/>
      <c r="D1878"/>
      <c r="E1878"/>
      <c r="F1878"/>
    </row>
    <row r="1879" spans="1:6" s="75" customFormat="1" x14ac:dyDescent="0.25">
      <c r="A1879"/>
      <c r="B1879"/>
      <c r="C1879"/>
      <c r="D1879"/>
      <c r="E1879"/>
      <c r="F1879"/>
    </row>
    <row r="1880" spans="1:6" s="75" customFormat="1" x14ac:dyDescent="0.25">
      <c r="A1880"/>
      <c r="B1880"/>
      <c r="C1880"/>
      <c r="D1880"/>
      <c r="E1880"/>
      <c r="F1880"/>
    </row>
    <row r="1881" spans="1:6" s="75" customFormat="1" x14ac:dyDescent="0.25">
      <c r="A1881"/>
      <c r="B1881"/>
      <c r="C1881"/>
      <c r="D1881"/>
      <c r="E1881"/>
      <c r="F1881"/>
    </row>
    <row r="1882" spans="1:6" s="75" customFormat="1" x14ac:dyDescent="0.25">
      <c r="A1882"/>
      <c r="B1882"/>
      <c r="C1882"/>
      <c r="D1882"/>
      <c r="E1882"/>
      <c r="F1882"/>
    </row>
    <row r="1883" spans="1:6" s="75" customFormat="1" x14ac:dyDescent="0.25">
      <c r="A1883"/>
      <c r="B1883"/>
      <c r="C1883"/>
      <c r="D1883"/>
      <c r="E1883"/>
      <c r="F1883"/>
    </row>
    <row r="1884" spans="1:6" s="75" customFormat="1" x14ac:dyDescent="0.25">
      <c r="A1884"/>
      <c r="B1884"/>
      <c r="C1884"/>
      <c r="D1884"/>
      <c r="E1884"/>
      <c r="F1884"/>
    </row>
    <row r="1885" spans="1:6" s="75" customFormat="1" x14ac:dyDescent="0.25">
      <c r="A1885"/>
      <c r="B1885"/>
      <c r="C1885"/>
      <c r="D1885"/>
      <c r="E1885"/>
      <c r="F1885"/>
    </row>
    <row r="1886" spans="1:6" s="75" customFormat="1" x14ac:dyDescent="0.25">
      <c r="A1886"/>
      <c r="B1886"/>
      <c r="C1886"/>
      <c r="D1886"/>
      <c r="E1886"/>
      <c r="F1886"/>
    </row>
    <row r="1887" spans="1:6" s="75" customFormat="1" x14ac:dyDescent="0.25">
      <c r="A1887"/>
      <c r="B1887"/>
      <c r="C1887"/>
      <c r="D1887"/>
      <c r="E1887"/>
      <c r="F1887"/>
    </row>
    <row r="1888" spans="1:6" s="75" customFormat="1" x14ac:dyDescent="0.25">
      <c r="A1888"/>
      <c r="B1888"/>
      <c r="C1888"/>
      <c r="D1888"/>
      <c r="E1888"/>
      <c r="F1888"/>
    </row>
    <row r="1889" spans="1:6" s="75" customFormat="1" x14ac:dyDescent="0.25">
      <c r="A1889"/>
      <c r="B1889"/>
      <c r="C1889"/>
      <c r="D1889"/>
      <c r="E1889"/>
      <c r="F1889"/>
    </row>
  </sheetData>
  <autoFilter ref="A4:F2013"/>
  <mergeCells count="6">
    <mergeCell ref="D1:F1"/>
    <mergeCell ref="A3:B3"/>
    <mergeCell ref="C3:C4"/>
    <mergeCell ref="D3:D4"/>
    <mergeCell ref="E3:E4"/>
    <mergeCell ref="F3:F4"/>
  </mergeCells>
  <printOptions horizontalCentered="1"/>
  <pageMargins left="0.51181102362204722" right="0.35433070866141736" top="0.31496062992125984" bottom="0.31496062992125984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667"/>
  <sheetViews>
    <sheetView showZeros="0" view="pageBreakPreview" zoomScaleSheetLayoutView="100" workbookViewId="0">
      <selection activeCell="I265" sqref="I265"/>
    </sheetView>
  </sheetViews>
  <sheetFormatPr defaultColWidth="8.85546875" defaultRowHeight="15.75" x14ac:dyDescent="0.25"/>
  <cols>
    <col min="1" max="1" width="7.85546875" style="1" customWidth="1"/>
    <col min="2" max="2" width="9.42578125" style="1" customWidth="1"/>
    <col min="3" max="3" width="16.140625" style="1" bestFit="1" customWidth="1"/>
    <col min="4" max="4" width="64.42578125" style="26" customWidth="1"/>
    <col min="5" max="6" width="15.85546875" style="26" customWidth="1"/>
    <col min="7" max="16384" width="8.85546875" style="26"/>
  </cols>
  <sheetData>
    <row r="1" spans="1:6" ht="20.25" x14ac:dyDescent="0.3">
      <c r="A1" s="112" t="s">
        <v>2850</v>
      </c>
      <c r="B1" s="112"/>
      <c r="C1" s="112"/>
      <c r="D1" s="112"/>
      <c r="E1" s="112"/>
      <c r="F1" s="112"/>
    </row>
    <row r="3" spans="1:6" ht="44.25" customHeight="1" x14ac:dyDescent="0.25">
      <c r="A3" s="106" t="s">
        <v>998</v>
      </c>
      <c r="B3" s="107"/>
      <c r="C3" s="108" t="s">
        <v>732</v>
      </c>
      <c r="D3" s="111" t="s">
        <v>1001</v>
      </c>
      <c r="E3" s="111" t="s">
        <v>1002</v>
      </c>
      <c r="F3" s="111" t="s">
        <v>1003</v>
      </c>
    </row>
    <row r="4" spans="1:6" ht="57.75" customHeight="1" x14ac:dyDescent="0.25">
      <c r="A4" s="15" t="s">
        <v>999</v>
      </c>
      <c r="B4" s="15" t="s">
        <v>1000</v>
      </c>
      <c r="C4" s="108"/>
      <c r="D4" s="111"/>
      <c r="E4" s="111"/>
      <c r="F4" s="111"/>
    </row>
    <row r="5" spans="1:6" s="27" customFormat="1" x14ac:dyDescent="0.25">
      <c r="A5" s="17" t="s">
        <v>748</v>
      </c>
      <c r="B5" s="17" t="s">
        <v>7</v>
      </c>
      <c r="C5" s="17" t="s">
        <v>749</v>
      </c>
      <c r="D5" s="11" t="s">
        <v>8</v>
      </c>
      <c r="E5" s="11">
        <f>E6+E7+E14</f>
        <v>353294.10000000003</v>
      </c>
      <c r="F5" s="11">
        <f>F6+F7+F14</f>
        <v>560711.30000000005</v>
      </c>
    </row>
    <row r="6" spans="1:6" x14ac:dyDescent="0.25">
      <c r="A6" s="33" t="s">
        <v>748</v>
      </c>
      <c r="B6" s="34" t="s">
        <v>6</v>
      </c>
      <c r="C6" s="18" t="s">
        <v>29</v>
      </c>
      <c r="D6" s="32" t="s">
        <v>837</v>
      </c>
      <c r="E6" s="5">
        <f>IF('зведена (БАЛАНС) (2)'!E6&gt;'зведена (БАЛАНС) (2)'!F6,'зведена (БАЛАНС) (2)'!E6-'зведена (БАЛАНС) (2)'!F6,0)</f>
        <v>0</v>
      </c>
      <c r="F6" s="5">
        <f>IF('зведена (БАЛАНС) (2)'!F6&gt;'зведена (БАЛАНС) (2)'!E6,'зведена (БАЛАНС) (2)'!F6-'зведена (БАЛАНС) (2)'!E6,0)</f>
        <v>21496.5</v>
      </c>
    </row>
    <row r="7" spans="1:6" x14ac:dyDescent="0.25">
      <c r="A7" s="19" t="s">
        <v>748</v>
      </c>
      <c r="B7" s="19" t="s">
        <v>5</v>
      </c>
      <c r="C7" s="19" t="s">
        <v>750</v>
      </c>
      <c r="D7" s="7" t="s">
        <v>2792</v>
      </c>
      <c r="E7" s="7">
        <f>SUM(E8:E13)</f>
        <v>0</v>
      </c>
      <c r="F7" s="7">
        <f>SUM(F8:F13)</f>
        <v>0</v>
      </c>
    </row>
    <row r="8" spans="1:6" x14ac:dyDescent="0.25">
      <c r="A8" s="33" t="s">
        <v>748</v>
      </c>
      <c r="B8" s="34" t="s">
        <v>4</v>
      </c>
      <c r="C8" s="18" t="s">
        <v>30</v>
      </c>
      <c r="D8" s="32" t="s">
        <v>882</v>
      </c>
      <c r="E8" s="5">
        <f>IF('зведена (БАЛАНС) (2)'!E8&gt;'зведена (БАЛАНС) (2)'!F8,'зведена (БАЛАНС) (2)'!E8-'зведена (БАЛАНС) (2)'!F8,0)</f>
        <v>0</v>
      </c>
      <c r="F8" s="5">
        <f>IF('зведена (БАЛАНС) (2)'!F8&gt;'зведена (БАЛАНС) (2)'!E8,'зведена (БАЛАНС) (2)'!F8-'зведена (БАЛАНС) (2)'!E8,0)</f>
        <v>0</v>
      </c>
    </row>
    <row r="9" spans="1:6" x14ac:dyDescent="0.25">
      <c r="A9" s="33" t="s">
        <v>748</v>
      </c>
      <c r="B9" s="34" t="s">
        <v>4</v>
      </c>
      <c r="C9" s="18" t="s">
        <v>31</v>
      </c>
      <c r="D9" s="32" t="s">
        <v>883</v>
      </c>
      <c r="E9" s="5">
        <f>IF('зведена (БАЛАНС) (2)'!E9&gt;'зведена (БАЛАНС) (2)'!F9,'зведена (БАЛАНС) (2)'!E9-'зведена (БАЛАНС) (2)'!F9,0)</f>
        <v>0</v>
      </c>
      <c r="F9" s="5">
        <f>IF('зведена (БАЛАНС) (2)'!F9&gt;'зведена (БАЛАНС) (2)'!E9,'зведена (БАЛАНС) (2)'!F9-'зведена (БАЛАНС) (2)'!E9,0)</f>
        <v>0</v>
      </c>
    </row>
    <row r="10" spans="1:6" x14ac:dyDescent="0.25">
      <c r="A10" s="33" t="s">
        <v>748</v>
      </c>
      <c r="B10" s="34" t="s">
        <v>4</v>
      </c>
      <c r="C10" s="18" t="s">
        <v>2734</v>
      </c>
      <c r="D10" s="32" t="s">
        <v>2735</v>
      </c>
      <c r="E10" s="5">
        <f>IF('зведена (БАЛАНС) (2)'!E10&gt;'зведена (БАЛАНС) (2)'!F10,'зведена (БАЛАНС) (2)'!E10-'зведена (БАЛАНС) (2)'!F10,0)</f>
        <v>0</v>
      </c>
      <c r="F10" s="5">
        <f>IF('зведена (БАЛАНС) (2)'!F10&gt;'зведена (БАЛАНС) (2)'!E10,'зведена (БАЛАНС) (2)'!F10-'зведена (БАЛАНС) (2)'!E10,0)</f>
        <v>0</v>
      </c>
    </row>
    <row r="11" spans="1:6" x14ac:dyDescent="0.25">
      <c r="A11" s="33" t="s">
        <v>748</v>
      </c>
      <c r="B11" s="33" t="s">
        <v>4</v>
      </c>
      <c r="C11" s="18" t="s">
        <v>32</v>
      </c>
      <c r="D11" s="32" t="s">
        <v>884</v>
      </c>
      <c r="E11" s="5">
        <f>IF('зведена (БАЛАНС) (2)'!E11&gt;'зведена (БАЛАНС) (2)'!F11,'зведена (БАЛАНС) (2)'!E11-'зведена (БАЛАНС) (2)'!F11,0)</f>
        <v>0</v>
      </c>
      <c r="F11" s="5">
        <f>IF('зведена (БАЛАНС) (2)'!F11&gt;'зведена (БАЛАНС) (2)'!E11,'зведена (БАЛАНС) (2)'!F11-'зведена (БАЛАНС) (2)'!E11,0)</f>
        <v>0</v>
      </c>
    </row>
    <row r="12" spans="1:6" x14ac:dyDescent="0.25">
      <c r="A12" s="33" t="s">
        <v>748</v>
      </c>
      <c r="B12" s="34" t="s">
        <v>4</v>
      </c>
      <c r="C12" s="18" t="s">
        <v>33</v>
      </c>
      <c r="D12" s="32" t="s">
        <v>885</v>
      </c>
      <c r="E12" s="5">
        <f>IF('зведена (БАЛАНС) (2)'!E12&gt;'зведена (БАЛАНС) (2)'!F12,'зведена (БАЛАНС) (2)'!E12-'зведена (БАЛАНС) (2)'!F12,0)</f>
        <v>0</v>
      </c>
      <c r="F12" s="5">
        <f>IF('зведена (БАЛАНС) (2)'!F12&gt;'зведена (БАЛАНС) (2)'!E12,'зведена (БАЛАНС) (2)'!F12-'зведена (БАЛАНС) (2)'!E12,0)</f>
        <v>0</v>
      </c>
    </row>
    <row r="13" spans="1:6" x14ac:dyDescent="0.25">
      <c r="A13" s="33" t="s">
        <v>748</v>
      </c>
      <c r="B13" s="34" t="s">
        <v>4</v>
      </c>
      <c r="C13" s="18" t="s">
        <v>34</v>
      </c>
      <c r="D13" s="32" t="s">
        <v>886</v>
      </c>
      <c r="E13" s="5">
        <f>IF('зведена (БАЛАНС) (2)'!E13&gt;'зведена (БАЛАНС) (2)'!F13,'зведена (БАЛАНС) (2)'!E13-'зведена (БАЛАНС) (2)'!F13,0)</f>
        <v>0</v>
      </c>
      <c r="F13" s="5">
        <f>IF('зведена (БАЛАНС) (2)'!F13&gt;'зведена (БАЛАНС) (2)'!E13,'зведена (БАЛАНС) (2)'!F13-'зведена (БАЛАНС) (2)'!E13,0)</f>
        <v>0</v>
      </c>
    </row>
    <row r="14" spans="1:6" x14ac:dyDescent="0.25">
      <c r="A14" s="19" t="s">
        <v>748</v>
      </c>
      <c r="B14" s="19" t="s">
        <v>28</v>
      </c>
      <c r="C14" s="19" t="s">
        <v>751</v>
      </c>
      <c r="D14" s="20" t="s">
        <v>2768</v>
      </c>
      <c r="E14" s="7">
        <f>SUM(E15:E77)</f>
        <v>353294.10000000003</v>
      </c>
      <c r="F14" s="7">
        <f>SUM(F15:F77)</f>
        <v>539214.80000000005</v>
      </c>
    </row>
    <row r="15" spans="1:6" x14ac:dyDescent="0.25">
      <c r="A15" s="33" t="s">
        <v>748</v>
      </c>
      <c r="B15" s="34" t="s">
        <v>983</v>
      </c>
      <c r="C15" s="18" t="s">
        <v>224</v>
      </c>
      <c r="D15" s="32" t="s">
        <v>1065</v>
      </c>
      <c r="E15" s="5">
        <f>IF('зведена (БАЛАНС) (2)'!E15&gt;'зведена (БАЛАНС) (2)'!F15,'зведена (БАЛАНС) (2)'!E15-'зведена (БАЛАНС) (2)'!F15,0)</f>
        <v>0</v>
      </c>
      <c r="F15" s="5">
        <f>IF('зведена (БАЛАНС) (2)'!F15&gt;'зведена (БАЛАНС) (2)'!E15,'зведена (БАЛАНС) (2)'!F15-'зведена (БАЛАНС) (2)'!E15,0)</f>
        <v>0</v>
      </c>
    </row>
    <row r="16" spans="1:6" x14ac:dyDescent="0.25">
      <c r="A16" s="33" t="s">
        <v>748</v>
      </c>
      <c r="B16" s="34" t="s">
        <v>984</v>
      </c>
      <c r="C16" s="18" t="s">
        <v>225</v>
      </c>
      <c r="D16" s="32" t="s">
        <v>1066</v>
      </c>
      <c r="E16" s="5">
        <f>IF('зведена (БАЛАНС) (2)'!E16&gt;'зведена (БАЛАНС) (2)'!F16,'зведена (БАЛАНС) (2)'!E16-'зведена (БАЛАНС) (2)'!F16,0)</f>
        <v>0</v>
      </c>
      <c r="F16" s="5">
        <f>IF('зведена (БАЛАНС) (2)'!F16&gt;'зведена (БАЛАНС) (2)'!E16,'зведена (БАЛАНС) (2)'!F16-'зведена (БАЛАНС) (2)'!E16,0)</f>
        <v>2025.5</v>
      </c>
    </row>
    <row r="17" spans="1:6" x14ac:dyDescent="0.25">
      <c r="A17" s="33" t="s">
        <v>748</v>
      </c>
      <c r="B17" s="34" t="s">
        <v>983</v>
      </c>
      <c r="C17" s="18" t="s">
        <v>297</v>
      </c>
      <c r="D17" s="32" t="s">
        <v>1067</v>
      </c>
      <c r="E17" s="5">
        <f>IF('зведена (БАЛАНС) (2)'!E17&gt;'зведена (БАЛАНС) (2)'!F17,'зведена (БАЛАНС) (2)'!E17-'зведена (БАЛАНС) (2)'!F17,0)</f>
        <v>10188.6</v>
      </c>
      <c r="F17" s="5">
        <f>IF('зведена (БАЛАНС) (2)'!F17&gt;'зведена (БАЛАНС) (2)'!E17,'зведена (БАЛАНС) (2)'!F17-'зведена (БАЛАНС) (2)'!E17,0)</f>
        <v>0</v>
      </c>
    </row>
    <row r="18" spans="1:6" x14ac:dyDescent="0.25">
      <c r="A18" s="33" t="s">
        <v>748</v>
      </c>
      <c r="B18" s="34" t="s">
        <v>985</v>
      </c>
      <c r="C18" s="18" t="s">
        <v>298</v>
      </c>
      <c r="D18" s="32" t="s">
        <v>2853</v>
      </c>
      <c r="E18" s="5">
        <f>IF('зведена (БАЛАНС) (2)'!E18&gt;'зведена (БАЛАНС) (2)'!F18,'зведена (БАЛАНС) (2)'!E18-'зведена (БАЛАНС) (2)'!F18,0)</f>
        <v>0</v>
      </c>
      <c r="F18" s="5">
        <f>IF('зведена (БАЛАНС) (2)'!F18&gt;'зведена (БАЛАНС) (2)'!E18,'зведена (БАЛАНС) (2)'!F18-'зведена (БАЛАНС) (2)'!E18,0)</f>
        <v>4463.5</v>
      </c>
    </row>
    <row r="19" spans="1:6" x14ac:dyDescent="0.25">
      <c r="A19" s="33" t="s">
        <v>748</v>
      </c>
      <c r="B19" s="34" t="s">
        <v>983</v>
      </c>
      <c r="C19" s="18" t="s">
        <v>306</v>
      </c>
      <c r="D19" s="32" t="s">
        <v>1069</v>
      </c>
      <c r="E19" s="5">
        <f>IF('зведена (БАЛАНС) (2)'!E19&gt;'зведена (БАЛАНС) (2)'!F19,'зведена (БАЛАНС) (2)'!E19-'зведена (БАЛАНС) (2)'!F19,0)</f>
        <v>0</v>
      </c>
      <c r="F19" s="5">
        <f>IF('зведена (БАЛАНС) (2)'!F19&gt;'зведена (БАЛАНС) (2)'!E19,'зведена (БАЛАНС) (2)'!F19-'зведена (БАЛАНС) (2)'!E19,0)</f>
        <v>21312.7</v>
      </c>
    </row>
    <row r="20" spans="1:6" x14ac:dyDescent="0.25">
      <c r="A20" s="33" t="s">
        <v>748</v>
      </c>
      <c r="B20" s="34" t="s">
        <v>983</v>
      </c>
      <c r="C20" s="18" t="s">
        <v>307</v>
      </c>
      <c r="D20" s="32" t="s">
        <v>1070</v>
      </c>
      <c r="E20" s="5">
        <f>IF('зведена (БАЛАНС) (2)'!E20&gt;'зведена (БАЛАНС) (2)'!F20,'зведена (БАЛАНС) (2)'!E20-'зведена (БАЛАНС) (2)'!F20,0)</f>
        <v>0</v>
      </c>
      <c r="F20" s="5">
        <f>IF('зведена (БАЛАНС) (2)'!F20&gt;'зведена (БАЛАНС) (2)'!E20,'зведена (БАЛАНС) (2)'!F20-'зведена (БАЛАНС) (2)'!E20,0)</f>
        <v>0</v>
      </c>
    </row>
    <row r="21" spans="1:6" x14ac:dyDescent="0.25">
      <c r="A21" s="33" t="s">
        <v>748</v>
      </c>
      <c r="B21" s="34" t="s">
        <v>983</v>
      </c>
      <c r="C21" s="18" t="s">
        <v>308</v>
      </c>
      <c r="D21" s="32" t="s">
        <v>1071</v>
      </c>
      <c r="E21" s="5">
        <f>IF('зведена (БАЛАНС) (2)'!E21&gt;'зведена (БАЛАНС) (2)'!F21,'зведена (БАЛАНС) (2)'!E21-'зведена (БАЛАНС) (2)'!F21,0)</f>
        <v>0</v>
      </c>
      <c r="F21" s="5">
        <f>IF('зведена (БАЛАНС) (2)'!F21&gt;'зведена (БАЛАНС) (2)'!E21,'зведена (БАЛАНС) (2)'!F21-'зведена (БАЛАНС) (2)'!E21,0)</f>
        <v>8251</v>
      </c>
    </row>
    <row r="22" spans="1:6" x14ac:dyDescent="0.25">
      <c r="A22" s="33" t="s">
        <v>748</v>
      </c>
      <c r="B22" s="34" t="s">
        <v>985</v>
      </c>
      <c r="C22" s="18" t="s">
        <v>309</v>
      </c>
      <c r="D22" s="32" t="s">
        <v>2854</v>
      </c>
      <c r="E22" s="5">
        <f>IF('зведена (БАЛАНС) (2)'!E22&gt;'зведена (БАЛАНС) (2)'!F22,'зведена (БАЛАНС) (2)'!E22-'зведена (БАЛАНС) (2)'!F22,0)</f>
        <v>0</v>
      </c>
      <c r="F22" s="5">
        <f>IF('зведена (БАЛАНС) (2)'!F22&gt;'зведена (БАЛАНС) (2)'!E22,'зведена (БАЛАНС) (2)'!F22-'зведена (БАЛАНС) (2)'!E22,0)</f>
        <v>13669.8</v>
      </c>
    </row>
    <row r="23" spans="1:6" x14ac:dyDescent="0.25">
      <c r="A23" s="33" t="s">
        <v>748</v>
      </c>
      <c r="B23" s="34" t="s">
        <v>985</v>
      </c>
      <c r="C23" s="18" t="s">
        <v>310</v>
      </c>
      <c r="D23" s="32" t="s">
        <v>1073</v>
      </c>
      <c r="E23" s="5">
        <f>IF('зведена (БАЛАНС) (2)'!E23&gt;'зведена (БАЛАНС) (2)'!F23,'зведена (БАЛАНС) (2)'!E23-'зведена (БАЛАНС) (2)'!F23,0)</f>
        <v>0</v>
      </c>
      <c r="F23" s="5">
        <f>IF('зведена (БАЛАНС) (2)'!F23&gt;'зведена (БАЛАНС) (2)'!E23,'зведена (БАЛАНС) (2)'!F23-'зведена (БАЛАНС) (2)'!E23,0)</f>
        <v>17459.7</v>
      </c>
    </row>
    <row r="24" spans="1:6" x14ac:dyDescent="0.25">
      <c r="A24" s="33" t="s">
        <v>748</v>
      </c>
      <c r="B24" s="34" t="s">
        <v>985</v>
      </c>
      <c r="C24" s="18" t="s">
        <v>311</v>
      </c>
      <c r="D24" s="32" t="s">
        <v>1074</v>
      </c>
      <c r="E24" s="5">
        <f>IF('зведена (БАЛАНС) (2)'!E24&gt;'зведена (БАЛАНС) (2)'!F24,'зведена (БАЛАНС) (2)'!E24-'зведена (БАЛАНС) (2)'!F24,0)</f>
        <v>0</v>
      </c>
      <c r="F24" s="5">
        <f>IF('зведена (БАЛАНС) (2)'!F24&gt;'зведена (БАЛАНС) (2)'!E24,'зведена (БАЛАНС) (2)'!F24-'зведена (БАЛАНС) (2)'!E24,0)</f>
        <v>1550.3</v>
      </c>
    </row>
    <row r="25" spans="1:6" x14ac:dyDescent="0.25">
      <c r="A25" s="33" t="s">
        <v>748</v>
      </c>
      <c r="B25" s="34" t="s">
        <v>985</v>
      </c>
      <c r="C25" s="18" t="s">
        <v>312</v>
      </c>
      <c r="D25" s="32" t="s">
        <v>2855</v>
      </c>
      <c r="E25" s="5">
        <f>IF('зведена (БАЛАНС) (2)'!E25&gt;'зведена (БАЛАНС) (2)'!F25,'зведена (БАЛАНС) (2)'!E25-'зведена (БАЛАНС) (2)'!F25,0)</f>
        <v>0</v>
      </c>
      <c r="F25" s="5">
        <f>IF('зведена (БАЛАНС) (2)'!F25&gt;'зведена (БАЛАНС) (2)'!E25,'зведена (БАЛАНС) (2)'!F25-'зведена (БАЛАНС) (2)'!E25,0)</f>
        <v>3640.8</v>
      </c>
    </row>
    <row r="26" spans="1:6" x14ac:dyDescent="0.25">
      <c r="A26" s="33" t="s">
        <v>748</v>
      </c>
      <c r="B26" s="34" t="s">
        <v>985</v>
      </c>
      <c r="C26" s="18" t="s">
        <v>313</v>
      </c>
      <c r="D26" s="32" t="s">
        <v>1076</v>
      </c>
      <c r="E26" s="5">
        <f>IF('зведена (БАЛАНС) (2)'!E26&gt;'зведена (БАЛАНС) (2)'!F26,'зведена (БАЛАНС) (2)'!E26-'зведена (БАЛАНС) (2)'!F26,0)</f>
        <v>0</v>
      </c>
      <c r="F26" s="5">
        <f>IF('зведена (БАЛАНС) (2)'!F26&gt;'зведена (БАЛАНС) (2)'!E26,'зведена (БАЛАНС) (2)'!F26-'зведена (БАЛАНС) (2)'!E26,0)</f>
        <v>20217.099999999999</v>
      </c>
    </row>
    <row r="27" spans="1:6" x14ac:dyDescent="0.25">
      <c r="A27" s="33" t="s">
        <v>748</v>
      </c>
      <c r="B27" s="34" t="s">
        <v>984</v>
      </c>
      <c r="C27" s="18" t="s">
        <v>314</v>
      </c>
      <c r="D27" s="32" t="s">
        <v>2856</v>
      </c>
      <c r="E27" s="5">
        <f>IF('зведена (БАЛАНС) (2)'!E27&gt;'зведена (БАЛАНС) (2)'!F27,'зведена (БАЛАНС) (2)'!E27-'зведена (БАЛАНС) (2)'!F27,0)</f>
        <v>0</v>
      </c>
      <c r="F27" s="5">
        <f>IF('зведена (БАЛАНС) (2)'!F27&gt;'зведена (БАЛАНС) (2)'!E27,'зведена (БАЛАНС) (2)'!F27-'зведена (БАЛАНС) (2)'!E27,0)</f>
        <v>5400</v>
      </c>
    </row>
    <row r="28" spans="1:6" x14ac:dyDescent="0.25">
      <c r="A28" s="33" t="s">
        <v>748</v>
      </c>
      <c r="B28" s="34" t="s">
        <v>984</v>
      </c>
      <c r="C28" s="18" t="s">
        <v>315</v>
      </c>
      <c r="D28" s="32" t="s">
        <v>2793</v>
      </c>
      <c r="E28" s="5">
        <f>IF('зведена (БАЛАНС) (2)'!E28&gt;'зведена (БАЛАНС) (2)'!F28,'зведена (БАЛАНС) (2)'!E28-'зведена (БАЛАНС) (2)'!F28,0)</f>
        <v>0</v>
      </c>
      <c r="F28" s="5">
        <f>IF('зведена (БАЛАНС) (2)'!F28&gt;'зведена (БАЛАНС) (2)'!E28,'зведена (БАЛАНС) (2)'!F28-'зведена (БАЛАНС) (2)'!E28,0)</f>
        <v>0</v>
      </c>
    </row>
    <row r="29" spans="1:6" x14ac:dyDescent="0.25">
      <c r="A29" s="33" t="s">
        <v>748</v>
      </c>
      <c r="B29" s="34" t="s">
        <v>984</v>
      </c>
      <c r="C29" s="18" t="s">
        <v>316</v>
      </c>
      <c r="D29" s="32" t="s">
        <v>1078</v>
      </c>
      <c r="E29" s="5">
        <f>IF('зведена (БАЛАНС) (2)'!E29&gt;'зведена (БАЛАНС) (2)'!F29,'зведена (БАЛАНС) (2)'!E29-'зведена (БАЛАНС) (2)'!F29,0)</f>
        <v>0</v>
      </c>
      <c r="F29" s="5">
        <f>IF('зведена (БАЛАНС) (2)'!F29&gt;'зведена (БАЛАНС) (2)'!E29,'зведена (БАЛАНС) (2)'!F29-'зведена (БАЛАНС) (2)'!E29,0)</f>
        <v>11434.7</v>
      </c>
    </row>
    <row r="30" spans="1:6" x14ac:dyDescent="0.25">
      <c r="A30" s="33" t="s">
        <v>748</v>
      </c>
      <c r="B30" s="34" t="s">
        <v>984</v>
      </c>
      <c r="C30" s="18" t="s">
        <v>317</v>
      </c>
      <c r="D30" s="32" t="s">
        <v>1079</v>
      </c>
      <c r="E30" s="5">
        <f>IF('зведена (БАЛАНС) (2)'!E30&gt;'зведена (БАЛАНС) (2)'!F30,'зведена (БАЛАНС) (2)'!E30-'зведена (БАЛАНС) (2)'!F30,0)</f>
        <v>0</v>
      </c>
      <c r="F30" s="5">
        <f>IF('зведена (БАЛАНС) (2)'!F30&gt;'зведена (БАЛАНС) (2)'!E30,'зведена (БАЛАНС) (2)'!F30-'зведена (БАЛАНС) (2)'!E30,0)</f>
        <v>6136.1</v>
      </c>
    </row>
    <row r="31" spans="1:6" x14ac:dyDescent="0.25">
      <c r="A31" s="33" t="s">
        <v>748</v>
      </c>
      <c r="B31" s="34" t="s">
        <v>984</v>
      </c>
      <c r="C31" s="18" t="s">
        <v>318</v>
      </c>
      <c r="D31" s="32" t="s">
        <v>1080</v>
      </c>
      <c r="E31" s="5">
        <f>IF('зведена (БАЛАНС) (2)'!E31&gt;'зведена (БАЛАНС) (2)'!F31,'зведена (БАЛАНС) (2)'!E31-'зведена (БАЛАНС) (2)'!F31,0)</f>
        <v>0</v>
      </c>
      <c r="F31" s="5">
        <f>IF('зведена (БАЛАНС) (2)'!F31&gt;'зведена (БАЛАНС) (2)'!E31,'зведена (БАЛАНС) (2)'!F31-'зведена (БАЛАНС) (2)'!E31,0)</f>
        <v>9941</v>
      </c>
    </row>
    <row r="32" spans="1:6" x14ac:dyDescent="0.25">
      <c r="A32" s="33" t="s">
        <v>748</v>
      </c>
      <c r="B32" s="34" t="s">
        <v>984</v>
      </c>
      <c r="C32" s="18" t="s">
        <v>467</v>
      </c>
      <c r="D32" s="32" t="s">
        <v>1081</v>
      </c>
      <c r="E32" s="5">
        <f>IF('зведена (БАЛАНС) (2)'!E32&gt;'зведена (БАЛАНС) (2)'!F32,'зведена (БАЛАНС) (2)'!E32-'зведена (БАЛАНС) (2)'!F32,0)</f>
        <v>0</v>
      </c>
      <c r="F32" s="5">
        <f>IF('зведена (БАЛАНС) (2)'!F32&gt;'зведена (БАЛАНС) (2)'!E32,'зведена (БАЛАНС) (2)'!F32-'зведена (БАЛАНС) (2)'!E32,0)</f>
        <v>15306</v>
      </c>
    </row>
    <row r="33" spans="1:6" x14ac:dyDescent="0.25">
      <c r="A33" s="33" t="s">
        <v>748</v>
      </c>
      <c r="B33" s="34" t="s">
        <v>984</v>
      </c>
      <c r="C33" s="18" t="s">
        <v>468</v>
      </c>
      <c r="D33" s="32" t="s">
        <v>2857</v>
      </c>
      <c r="E33" s="5">
        <f>IF('зведена (БАЛАНС) (2)'!E33&gt;'зведена (БАЛАНС) (2)'!F33,'зведена (БАЛАНС) (2)'!E33-'зведена (БАЛАНС) (2)'!F33,0)</f>
        <v>0</v>
      </c>
      <c r="F33" s="5">
        <f>IF('зведена (БАЛАНС) (2)'!F33&gt;'зведена (БАЛАНС) (2)'!E33,'зведена (БАЛАНС) (2)'!F33-'зведена (БАЛАНС) (2)'!E33,0)</f>
        <v>6073</v>
      </c>
    </row>
    <row r="34" spans="1:6" x14ac:dyDescent="0.25">
      <c r="A34" s="33" t="s">
        <v>748</v>
      </c>
      <c r="B34" s="34" t="s">
        <v>984</v>
      </c>
      <c r="C34" s="18" t="s">
        <v>469</v>
      </c>
      <c r="D34" s="32" t="s">
        <v>1083</v>
      </c>
      <c r="E34" s="5">
        <f>IF('зведена (БАЛАНС) (2)'!E34&gt;'зведена (БАЛАНС) (2)'!F34,'зведена (БАЛАНС) (2)'!E34-'зведена (БАЛАНС) (2)'!F34,0)</f>
        <v>4323.2</v>
      </c>
      <c r="F34" s="5">
        <f>IF('зведена (БАЛАНС) (2)'!F34&gt;'зведена (БАЛАНС) (2)'!E34,'зведена (БАЛАНС) (2)'!F34-'зведена (БАЛАНС) (2)'!E34,0)</f>
        <v>0</v>
      </c>
    </row>
    <row r="35" spans="1:6" x14ac:dyDescent="0.25">
      <c r="A35" s="33" t="s">
        <v>748</v>
      </c>
      <c r="B35" s="34" t="s">
        <v>984</v>
      </c>
      <c r="C35" s="18" t="s">
        <v>510</v>
      </c>
      <c r="D35" s="32" t="s">
        <v>2365</v>
      </c>
      <c r="E35" s="5">
        <f>IF('зведена (БАЛАНС) (2)'!E35&gt;'зведена (БАЛАНС) (2)'!F35,'зведена (БАЛАНС) (2)'!E35-'зведена (БАЛАНС) (2)'!F35,0)</f>
        <v>0</v>
      </c>
      <c r="F35" s="5">
        <f>IF('зведена (БАЛАНС) (2)'!F35&gt;'зведена (БАЛАНС) (2)'!E35,'зведена (БАЛАНС) (2)'!F35-'зведена (БАЛАНС) (2)'!E35,0)</f>
        <v>3486.7</v>
      </c>
    </row>
    <row r="36" spans="1:6" x14ac:dyDescent="0.25">
      <c r="A36" s="33" t="s">
        <v>748</v>
      </c>
      <c r="B36" s="34" t="s">
        <v>985</v>
      </c>
      <c r="C36" s="18" t="s">
        <v>511</v>
      </c>
      <c r="D36" s="32" t="s">
        <v>2858</v>
      </c>
      <c r="E36" s="5">
        <f>IF('зведена (БАЛАНС) (2)'!E36&gt;'зведена (БАЛАНС) (2)'!F36,'зведена (БАЛАНС) (2)'!E36-'зведена (БАЛАНС) (2)'!F36,0)</f>
        <v>0</v>
      </c>
      <c r="F36" s="5">
        <f>IF('зведена (БАЛАНС) (2)'!F36&gt;'зведена (БАЛАНС) (2)'!E36,'зведена (БАЛАНС) (2)'!F36-'зведена (БАЛАНС) (2)'!E36,0)</f>
        <v>3375.2</v>
      </c>
    </row>
    <row r="37" spans="1:6" x14ac:dyDescent="0.25">
      <c r="A37" s="33" t="s">
        <v>748</v>
      </c>
      <c r="B37" s="34" t="s">
        <v>985</v>
      </c>
      <c r="C37" s="18" t="s">
        <v>512</v>
      </c>
      <c r="D37" s="32" t="s">
        <v>1086</v>
      </c>
      <c r="E37" s="5">
        <f>IF('зведена (БАЛАНС) (2)'!E37&gt;'зведена (БАЛАНС) (2)'!F37,'зведена (БАЛАНС) (2)'!E37-'зведена (БАЛАНС) (2)'!F37,0)</f>
        <v>0</v>
      </c>
      <c r="F37" s="5">
        <f>IF('зведена (БАЛАНС) (2)'!F37&gt;'зведена (БАЛАНС) (2)'!E37,'зведена (БАЛАНС) (2)'!F37-'зведена (БАЛАНС) (2)'!E37,0)</f>
        <v>11412.6</v>
      </c>
    </row>
    <row r="38" spans="1:6" x14ac:dyDescent="0.25">
      <c r="A38" s="33" t="s">
        <v>748</v>
      </c>
      <c r="B38" s="34" t="s">
        <v>984</v>
      </c>
      <c r="C38" s="18" t="s">
        <v>513</v>
      </c>
      <c r="D38" s="32" t="s">
        <v>1087</v>
      </c>
      <c r="E38" s="5">
        <f>IF('зведена (БАЛАНС) (2)'!E38&gt;'зведена (БАЛАНС) (2)'!F38,'зведена (БАЛАНС) (2)'!E38-'зведена (БАЛАНС) (2)'!F38,0)</f>
        <v>0</v>
      </c>
      <c r="F38" s="5">
        <f>IF('зведена (БАЛАНС) (2)'!F38&gt;'зведена (БАЛАНС) (2)'!E38,'зведена (БАЛАНС) (2)'!F38-'зведена (БАЛАНС) (2)'!E38,0)</f>
        <v>10072</v>
      </c>
    </row>
    <row r="39" spans="1:6" x14ac:dyDescent="0.25">
      <c r="A39" s="33" t="s">
        <v>748</v>
      </c>
      <c r="B39" s="34" t="s">
        <v>984</v>
      </c>
      <c r="C39" s="18" t="s">
        <v>514</v>
      </c>
      <c r="D39" s="32" t="s">
        <v>1088</v>
      </c>
      <c r="E39" s="5">
        <f>IF('зведена (БАЛАНС) (2)'!E39&gt;'зведена (БАЛАНС) (2)'!F39,'зведена (БАЛАНС) (2)'!E39-'зведена (БАЛАНС) (2)'!F39,0)</f>
        <v>0</v>
      </c>
      <c r="F39" s="5">
        <f>IF('зведена (БАЛАНС) (2)'!F39&gt;'зведена (БАЛАНС) (2)'!E39,'зведена (БАЛАНС) (2)'!F39-'зведена (БАЛАНС) (2)'!E39,0)</f>
        <v>1874.2</v>
      </c>
    </row>
    <row r="40" spans="1:6" x14ac:dyDescent="0.25">
      <c r="A40" s="33" t="s">
        <v>748</v>
      </c>
      <c r="B40" s="34" t="s">
        <v>983</v>
      </c>
      <c r="C40" s="18" t="s">
        <v>515</v>
      </c>
      <c r="D40" s="32" t="s">
        <v>1089</v>
      </c>
      <c r="E40" s="5">
        <f>IF('зведена (БАЛАНС) (2)'!E40&gt;'зведена (БАЛАНС) (2)'!F40,'зведена (БАЛАНС) (2)'!E40-'зведена (БАЛАНС) (2)'!F40,0)</f>
        <v>0</v>
      </c>
      <c r="F40" s="5">
        <f>IF('зведена (БАЛАНС) (2)'!F40&gt;'зведена (БАЛАНС) (2)'!E40,'зведена (БАЛАНС) (2)'!F40-'зведена (БАЛАНС) (2)'!E40,0)</f>
        <v>8024.5</v>
      </c>
    </row>
    <row r="41" spans="1:6" x14ac:dyDescent="0.25">
      <c r="A41" s="33" t="s">
        <v>748</v>
      </c>
      <c r="B41" s="34" t="s">
        <v>985</v>
      </c>
      <c r="C41" s="18" t="s">
        <v>829</v>
      </c>
      <c r="D41" s="32" t="s">
        <v>1090</v>
      </c>
      <c r="E41" s="5">
        <f>IF('зведена (БАЛАНС) (2)'!E41&gt;'зведена (БАЛАНС) (2)'!F41,'зведена (БАЛАНС) (2)'!E41-'зведена (БАЛАНС) (2)'!F41,0)</f>
        <v>0</v>
      </c>
      <c r="F41" s="5">
        <f>IF('зведена (БАЛАНС) (2)'!F41&gt;'зведена (БАЛАНС) (2)'!E41,'зведена (БАЛАНС) (2)'!F41-'зведена (БАЛАНС) (2)'!E41,0)</f>
        <v>0</v>
      </c>
    </row>
    <row r="42" spans="1:6" s="28" customFormat="1" x14ac:dyDescent="0.25">
      <c r="A42" s="33" t="s">
        <v>748</v>
      </c>
      <c r="B42" s="34" t="s">
        <v>986</v>
      </c>
      <c r="C42" s="30" t="s">
        <v>971</v>
      </c>
      <c r="D42" s="32" t="s">
        <v>2859</v>
      </c>
      <c r="E42" s="5">
        <f>IF('зведена (БАЛАНС) (2)'!E42&gt;'зведена (БАЛАНС) (2)'!F42,'зведена (БАЛАНС) (2)'!E42-'зведена (БАЛАНС) (2)'!F42,0)</f>
        <v>258880</v>
      </c>
      <c r="F42" s="5">
        <f>IF('зведена (БАЛАНС) (2)'!F42&gt;'зведена (БАЛАНС) (2)'!E42,'зведена (БАЛАНС) (2)'!F42-'зведена (БАЛАНС) (2)'!E42,0)</f>
        <v>0</v>
      </c>
    </row>
    <row r="43" spans="1:6" s="28" customFormat="1" x14ac:dyDescent="0.25">
      <c r="A43" s="33" t="s">
        <v>748</v>
      </c>
      <c r="B43" s="34" t="s">
        <v>986</v>
      </c>
      <c r="C43" s="30" t="s">
        <v>972</v>
      </c>
      <c r="D43" s="32" t="s">
        <v>2860</v>
      </c>
      <c r="E43" s="5">
        <f>IF('зведена (БАЛАНС) (2)'!E43&gt;'зведена (БАЛАНС) (2)'!F43,'зведена (БАЛАНС) (2)'!E43-'зведена (БАЛАНС) (2)'!F43,0)</f>
        <v>0</v>
      </c>
      <c r="F43" s="5">
        <f>IF('зведена (БАЛАНС) (2)'!F43&gt;'зведена (БАЛАНС) (2)'!E43,'зведена (БАЛАНС) (2)'!F43-'зведена (БАЛАНС) (2)'!E43,0)</f>
        <v>24460.2</v>
      </c>
    </row>
    <row r="44" spans="1:6" s="28" customFormat="1" x14ac:dyDescent="0.25">
      <c r="A44" s="33" t="s">
        <v>748</v>
      </c>
      <c r="B44" s="34" t="s">
        <v>985</v>
      </c>
      <c r="C44" s="30" t="s">
        <v>987</v>
      </c>
      <c r="D44" s="32" t="s">
        <v>2861</v>
      </c>
      <c r="E44" s="5">
        <f>IF('зведена (БАЛАНС) (2)'!E44&gt;'зведена (БАЛАНС) (2)'!F44,'зведена (БАЛАНС) (2)'!E44-'зведена (БАЛАНС) (2)'!F44,0)</f>
        <v>0</v>
      </c>
      <c r="F44" s="5">
        <f>IF('зведена (БАЛАНС) (2)'!F44&gt;'зведена (БАЛАНС) (2)'!E44,'зведена (БАЛАНС) (2)'!F44-'зведена (БАЛАНС) (2)'!E44,0)</f>
        <v>5585.9</v>
      </c>
    </row>
    <row r="45" spans="1:6" s="28" customFormat="1" x14ac:dyDescent="0.25">
      <c r="A45" s="33" t="s">
        <v>748</v>
      </c>
      <c r="B45" s="34" t="s">
        <v>984</v>
      </c>
      <c r="C45" s="30" t="s">
        <v>992</v>
      </c>
      <c r="D45" s="32" t="s">
        <v>2862</v>
      </c>
      <c r="E45" s="5">
        <f>IF('зведена (БАЛАНС) (2)'!E45&gt;'зведена (БАЛАНС) (2)'!F45,'зведена (БАЛАНС) (2)'!E45-'зведена (БАЛАНС) (2)'!F45,0)</f>
        <v>0</v>
      </c>
      <c r="F45" s="5">
        <f>IF('зведена (БАЛАНС) (2)'!F45&gt;'зведена (БАЛАНС) (2)'!E45,'зведена (БАЛАНС) (2)'!F45-'зведена (БАЛАНС) (2)'!E45,0)</f>
        <v>9118</v>
      </c>
    </row>
    <row r="46" spans="1:6" s="28" customFormat="1" x14ac:dyDescent="0.25">
      <c r="A46" s="33" t="s">
        <v>748</v>
      </c>
      <c r="B46" s="34" t="s">
        <v>985</v>
      </c>
      <c r="C46" s="30" t="s">
        <v>1019</v>
      </c>
      <c r="D46" s="32" t="s">
        <v>2863</v>
      </c>
      <c r="E46" s="5">
        <f>IF('зведена (БАЛАНС) (2)'!E46&gt;'зведена (БАЛАНС) (2)'!F46,'зведена (БАЛАНС) (2)'!E46-'зведена (БАЛАНС) (2)'!F46,0)</f>
        <v>0</v>
      </c>
      <c r="F46" s="5">
        <f>IF('зведена (БАЛАНС) (2)'!F46&gt;'зведена (БАЛАНС) (2)'!E46,'зведена (БАЛАНС) (2)'!F46-'зведена (БАЛАНС) (2)'!E46,0)</f>
        <v>4933.5</v>
      </c>
    </row>
    <row r="47" spans="1:6" s="28" customFormat="1" x14ac:dyDescent="0.25">
      <c r="A47" s="33" t="s">
        <v>748</v>
      </c>
      <c r="B47" s="34" t="s">
        <v>986</v>
      </c>
      <c r="C47" s="30" t="s">
        <v>1020</v>
      </c>
      <c r="D47" s="32" t="s">
        <v>2864</v>
      </c>
      <c r="E47" s="5">
        <f>IF('зведена (БАЛАНС) (2)'!E47&gt;'зведена (БАЛАНС) (2)'!F47,'зведена (БАЛАНС) (2)'!E47-'зведена (БАЛАНС) (2)'!F47,0)</f>
        <v>6549.5</v>
      </c>
      <c r="F47" s="5">
        <f>IF('зведена (БАЛАНС) (2)'!F47&gt;'зведена (БАЛАНС) (2)'!E47,'зведена (БАЛАНС) (2)'!F47-'зведена (БАЛАНС) (2)'!E47,0)</f>
        <v>0</v>
      </c>
    </row>
    <row r="48" spans="1:6" s="28" customFormat="1" x14ac:dyDescent="0.25">
      <c r="A48" s="33" t="s">
        <v>748</v>
      </c>
      <c r="B48" s="34" t="s">
        <v>985</v>
      </c>
      <c r="C48" s="30" t="s">
        <v>1026</v>
      </c>
      <c r="D48" s="32" t="s">
        <v>2865</v>
      </c>
      <c r="E48" s="5">
        <f>IF('зведена (БАЛАНС) (2)'!E48&gt;'зведена (БАЛАНС) (2)'!F48,'зведена (БАЛАНС) (2)'!E48-'зведена (БАЛАНС) (2)'!F48,0)</f>
        <v>0</v>
      </c>
      <c r="F48" s="5">
        <f>IF('зведена (БАЛАНС) (2)'!F48&gt;'зведена (БАЛАНС) (2)'!E48,'зведена (БАЛАНС) (2)'!F48-'зведена (БАЛАНС) (2)'!E48,0)</f>
        <v>10875.8</v>
      </c>
    </row>
    <row r="49" spans="1:6" s="28" customFormat="1" x14ac:dyDescent="0.25">
      <c r="A49" s="33" t="s">
        <v>748</v>
      </c>
      <c r="B49" s="34" t="s">
        <v>984</v>
      </c>
      <c r="C49" s="30" t="s">
        <v>1054</v>
      </c>
      <c r="D49" s="32" t="s">
        <v>2866</v>
      </c>
      <c r="E49" s="5">
        <f>IF('зведена (БАЛАНС) (2)'!E49&gt;'зведена (БАЛАНС) (2)'!F49,'зведена (БАЛАНС) (2)'!E49-'зведена (БАЛАНС) (2)'!F49,0)</f>
        <v>0</v>
      </c>
      <c r="F49" s="5">
        <f>IF('зведена (БАЛАНС) (2)'!F49&gt;'зведена (БАЛАНС) (2)'!E49,'зведена (БАЛАНС) (2)'!F49-'зведена (БАЛАНС) (2)'!E49,0)</f>
        <v>5422</v>
      </c>
    </row>
    <row r="50" spans="1:6" s="28" customFormat="1" x14ac:dyDescent="0.25">
      <c r="A50" s="33" t="s">
        <v>748</v>
      </c>
      <c r="B50" s="34" t="s">
        <v>984</v>
      </c>
      <c r="C50" s="30" t="s">
        <v>1099</v>
      </c>
      <c r="D50" s="32" t="s">
        <v>1100</v>
      </c>
      <c r="E50" s="5">
        <f>IF('зведена (БАЛАНС) (2)'!E50&gt;'зведена (БАЛАНС) (2)'!F50,'зведена (БАЛАНС) (2)'!E50-'зведена (БАЛАНС) (2)'!F50,0)</f>
        <v>0</v>
      </c>
      <c r="F50" s="5">
        <f>IF('зведена (БАЛАНС) (2)'!F50&gt;'зведена (БАЛАНС) (2)'!E50,'зведена (БАЛАНС) (2)'!F50-'зведена (БАЛАНС) (2)'!E50,0)</f>
        <v>6021</v>
      </c>
    </row>
    <row r="51" spans="1:6" s="28" customFormat="1" x14ac:dyDescent="0.25">
      <c r="A51" s="33" t="s">
        <v>748</v>
      </c>
      <c r="B51" s="34" t="s">
        <v>983</v>
      </c>
      <c r="C51" s="30" t="s">
        <v>1101</v>
      </c>
      <c r="D51" s="32" t="s">
        <v>1102</v>
      </c>
      <c r="E51" s="5">
        <f>IF('зведена (БАЛАНС) (2)'!E51&gt;'зведена (БАЛАНС) (2)'!F51,'зведена (БАЛАНС) (2)'!E51-'зведена (БАЛАНС) (2)'!F51,0)</f>
        <v>0</v>
      </c>
      <c r="F51" s="5">
        <f>IF('зведена (БАЛАНС) (2)'!F51&gt;'зведена (БАЛАНС) (2)'!E51,'зведена (БАЛАНС) (2)'!F51-'зведена (БАЛАНС) (2)'!E51,0)</f>
        <v>34160.5</v>
      </c>
    </row>
    <row r="52" spans="1:6" s="28" customFormat="1" x14ac:dyDescent="0.25">
      <c r="A52" s="33" t="s">
        <v>748</v>
      </c>
      <c r="B52" s="34" t="s">
        <v>985</v>
      </c>
      <c r="C52" s="30" t="s">
        <v>1103</v>
      </c>
      <c r="D52" s="32" t="s">
        <v>1104</v>
      </c>
      <c r="E52" s="5">
        <f>IF('зведена (БАЛАНС) (2)'!E52&gt;'зведена (БАЛАНС) (2)'!F52,'зведена (БАЛАНС) (2)'!E52-'зведена (БАЛАНС) (2)'!F52,0)</f>
        <v>0</v>
      </c>
      <c r="F52" s="5">
        <f>IF('зведена (БАЛАНС) (2)'!F52&gt;'зведена (БАЛАНС) (2)'!E52,'зведена (БАЛАНС) (2)'!F52-'зведена (БАЛАНС) (2)'!E52,0)</f>
        <v>16093.6</v>
      </c>
    </row>
    <row r="53" spans="1:6" s="28" customFormat="1" x14ac:dyDescent="0.25">
      <c r="A53" s="33" t="s">
        <v>748</v>
      </c>
      <c r="B53" s="34" t="s">
        <v>983</v>
      </c>
      <c r="C53" s="30" t="s">
        <v>1105</v>
      </c>
      <c r="D53" s="32" t="s">
        <v>1106</v>
      </c>
      <c r="E53" s="5">
        <f>IF('зведена (БАЛАНС) (2)'!E53&gt;'зведена (БАЛАНС) (2)'!F53,'зведена (БАЛАНС) (2)'!E53-'зведена (БАЛАНС) (2)'!F53,0)</f>
        <v>0</v>
      </c>
      <c r="F53" s="5">
        <f>IF('зведена (БАЛАНС) (2)'!F53&gt;'зведена (БАЛАНС) (2)'!E53,'зведена (БАЛАНС) (2)'!F53-'зведена (БАЛАНС) (2)'!E53,0)</f>
        <v>6694.8</v>
      </c>
    </row>
    <row r="54" spans="1:6" s="28" customFormat="1" x14ac:dyDescent="0.25">
      <c r="A54" s="33" t="s">
        <v>748</v>
      </c>
      <c r="B54" s="34" t="s">
        <v>984</v>
      </c>
      <c r="C54" s="30" t="s">
        <v>1107</v>
      </c>
      <c r="D54" s="32" t="s">
        <v>1108</v>
      </c>
      <c r="E54" s="5">
        <f>IF('зведена (БАЛАНС) (2)'!E54&gt;'зведена (БАЛАНС) (2)'!F54,'зведена (БАЛАНС) (2)'!E54-'зведена (БАЛАНС) (2)'!F54,0)</f>
        <v>0</v>
      </c>
      <c r="F54" s="5">
        <f>IF('зведена (БАЛАНС) (2)'!F54&gt;'зведена (БАЛАНС) (2)'!E54,'зведена (БАЛАНС) (2)'!F54-'зведена (БАЛАНС) (2)'!E54,0)</f>
        <v>3793.7</v>
      </c>
    </row>
    <row r="55" spans="1:6" s="28" customFormat="1" x14ac:dyDescent="0.25">
      <c r="A55" s="33" t="s">
        <v>748</v>
      </c>
      <c r="B55" s="34" t="s">
        <v>984</v>
      </c>
      <c r="C55" s="30" t="s">
        <v>1109</v>
      </c>
      <c r="D55" s="32" t="s">
        <v>1110</v>
      </c>
      <c r="E55" s="5">
        <f>IF('зведена (БАЛАНС) (2)'!E55&gt;'зведена (БАЛАНС) (2)'!F55,'зведена (БАЛАНС) (2)'!E55-'зведена (БАЛАНС) (2)'!F55,0)</f>
        <v>0</v>
      </c>
      <c r="F55" s="5">
        <f>IF('зведена (БАЛАНС) (2)'!F55&gt;'зведена (БАЛАНС) (2)'!E55,'зведена (БАЛАНС) (2)'!F55-'зведена (БАЛАНС) (2)'!E55,0)</f>
        <v>20708.900000000001</v>
      </c>
    </row>
    <row r="56" spans="1:6" s="28" customFormat="1" x14ac:dyDescent="0.25">
      <c r="A56" s="33" t="s">
        <v>748</v>
      </c>
      <c r="B56" s="34" t="s">
        <v>986</v>
      </c>
      <c r="C56" s="30" t="s">
        <v>1111</v>
      </c>
      <c r="D56" s="32" t="s">
        <v>1112</v>
      </c>
      <c r="E56" s="5">
        <f>IF('зведена (БАЛАНС) (2)'!E56&gt;'зведена (БАЛАНС) (2)'!F56,'зведена (БАЛАНС) (2)'!E56-'зведена (БАЛАНС) (2)'!F56,0)</f>
        <v>22845.4</v>
      </c>
      <c r="F56" s="5">
        <f>IF('зведена (БАЛАНС) (2)'!F56&gt;'зведена (БАЛАНС) (2)'!E56,'зведена (БАЛАНС) (2)'!F56-'зведена (БАЛАНС) (2)'!E56,0)</f>
        <v>0</v>
      </c>
    </row>
    <row r="57" spans="1:6" s="28" customFormat="1" x14ac:dyDescent="0.25">
      <c r="A57" s="33" t="s">
        <v>748</v>
      </c>
      <c r="B57" s="34" t="s">
        <v>985</v>
      </c>
      <c r="C57" s="30" t="s">
        <v>1113</v>
      </c>
      <c r="D57" s="32" t="s">
        <v>1114</v>
      </c>
      <c r="E57" s="5">
        <f>IF('зведена (БАЛАНС) (2)'!E57&gt;'зведена (БАЛАНС) (2)'!F57,'зведена (БАЛАНС) (2)'!E57-'зведена (БАЛАНС) (2)'!F57,0)</f>
        <v>0</v>
      </c>
      <c r="F57" s="5">
        <f>IF('зведена (БАЛАНС) (2)'!F57&gt;'зведена (БАЛАНС) (2)'!E57,'зведена (БАЛАНС) (2)'!F57-'зведена (БАЛАНС) (2)'!E57,0)</f>
        <v>11048.7</v>
      </c>
    </row>
    <row r="58" spans="1:6" s="28" customFormat="1" x14ac:dyDescent="0.25">
      <c r="A58" s="33" t="s">
        <v>748</v>
      </c>
      <c r="B58" s="34" t="s">
        <v>985</v>
      </c>
      <c r="C58" s="30" t="s">
        <v>1115</v>
      </c>
      <c r="D58" s="32" t="s">
        <v>1116</v>
      </c>
      <c r="E58" s="5">
        <f>IF('зведена (БАЛАНС) (2)'!E58&gt;'зведена (БАЛАНС) (2)'!F58,'зведена (БАЛАНС) (2)'!E58-'зведена (БАЛАНС) (2)'!F58,0)</f>
        <v>0</v>
      </c>
      <c r="F58" s="5">
        <f>IF('зведена (БАЛАНС) (2)'!F58&gt;'зведена (БАЛАНС) (2)'!E58,'зведена (БАЛАНС) (2)'!F58-'зведена (БАЛАНС) (2)'!E58,0)</f>
        <v>0</v>
      </c>
    </row>
    <row r="59" spans="1:6" s="28" customFormat="1" x14ac:dyDescent="0.25">
      <c r="A59" s="33" t="s">
        <v>748</v>
      </c>
      <c r="B59" s="34" t="s">
        <v>986</v>
      </c>
      <c r="C59" s="30" t="s">
        <v>1117</v>
      </c>
      <c r="D59" s="32" t="s">
        <v>1118</v>
      </c>
      <c r="E59" s="5">
        <f>IF('зведена (БАЛАНС) (2)'!E59&gt;'зведена (БАЛАНС) (2)'!F59,'зведена (БАЛАНС) (2)'!E59-'зведена (БАЛАНС) (2)'!F59,0)</f>
        <v>50218.400000000001</v>
      </c>
      <c r="F59" s="5">
        <f>IF('зведена (БАЛАНС) (2)'!F59&gt;'зведена (БАЛАНС) (2)'!E59,'зведена (БАЛАНС) (2)'!F59-'зведена (БАЛАНС) (2)'!E59,0)</f>
        <v>0</v>
      </c>
    </row>
    <row r="60" spans="1:6" s="28" customFormat="1" x14ac:dyDescent="0.25">
      <c r="A60" s="33" t="s">
        <v>748</v>
      </c>
      <c r="B60" s="34" t="s">
        <v>983</v>
      </c>
      <c r="C60" s="30" t="s">
        <v>1119</v>
      </c>
      <c r="D60" s="32" t="s">
        <v>1120</v>
      </c>
      <c r="E60" s="5">
        <f>IF('зведена (БАЛАНС) (2)'!E60&gt;'зведена (БАЛАНС) (2)'!F60,'зведена (БАЛАНС) (2)'!E60-'зведена (БАЛАНС) (2)'!F60,0)</f>
        <v>0</v>
      </c>
      <c r="F60" s="5">
        <f>IF('зведена (БАЛАНС) (2)'!F60&gt;'зведена (БАЛАНС) (2)'!E60,'зведена (БАЛАНС) (2)'!F60-'зведена (БАЛАНС) (2)'!E60,0)</f>
        <v>2420.5</v>
      </c>
    </row>
    <row r="61" spans="1:6" s="28" customFormat="1" x14ac:dyDescent="0.25">
      <c r="A61" s="33" t="s">
        <v>748</v>
      </c>
      <c r="B61" s="34" t="s">
        <v>986</v>
      </c>
      <c r="C61" s="30" t="s">
        <v>1121</v>
      </c>
      <c r="D61" s="32" t="s">
        <v>1122</v>
      </c>
      <c r="E61" s="5">
        <f>IF('зведена (БАЛАНС) (2)'!E61&gt;'зведена (БАЛАНС) (2)'!F61,'зведена (БАЛАНС) (2)'!E61-'зведена (БАЛАНС) (2)'!F61,0)</f>
        <v>0</v>
      </c>
      <c r="F61" s="5">
        <f>IF('зведена (БАЛАНС) (2)'!F61&gt;'зведена (БАЛАНС) (2)'!E61,'зведена (БАЛАНС) (2)'!F61-'зведена (БАЛАНС) (2)'!E61,0)</f>
        <v>22836.400000000001</v>
      </c>
    </row>
    <row r="62" spans="1:6" s="28" customFormat="1" ht="31.5" x14ac:dyDescent="0.25">
      <c r="A62" s="33" t="s">
        <v>748</v>
      </c>
      <c r="B62" s="34" t="s">
        <v>985</v>
      </c>
      <c r="C62" s="30" t="s">
        <v>1123</v>
      </c>
      <c r="D62" s="32" t="s">
        <v>2867</v>
      </c>
      <c r="E62" s="5">
        <f>IF('зведена (БАЛАНС) (2)'!E62&gt;'зведена (БАЛАНС) (2)'!F62,'зведена (БАЛАНС) (2)'!E62-'зведена (БАЛАНС) (2)'!F62,0)</f>
        <v>0</v>
      </c>
      <c r="F62" s="5">
        <f>IF('зведена (БАЛАНС) (2)'!F62&gt;'зведена (БАЛАНС) (2)'!E62,'зведена (БАЛАНС) (2)'!F62-'зведена (БАЛАНС) (2)'!E62,0)</f>
        <v>17514.7</v>
      </c>
    </row>
    <row r="63" spans="1:6" s="28" customFormat="1" x14ac:dyDescent="0.25">
      <c r="A63" s="33" t="s">
        <v>748</v>
      </c>
      <c r="B63" s="34" t="s">
        <v>984</v>
      </c>
      <c r="C63" s="30" t="s">
        <v>1125</v>
      </c>
      <c r="D63" s="32" t="s">
        <v>1126</v>
      </c>
      <c r="E63" s="5">
        <f>IF('зведена (БАЛАНС) (2)'!E63&gt;'зведена (БАЛАНС) (2)'!F63,'зведена (БАЛАНС) (2)'!E63-'зведена (БАЛАНС) (2)'!F63,0)</f>
        <v>0</v>
      </c>
      <c r="F63" s="5">
        <f>IF('зведена (БАЛАНС) (2)'!F63&gt;'зведена (БАЛАНС) (2)'!E63,'зведена (БАЛАНС) (2)'!F63-'зведена (БАЛАНС) (2)'!E63,0)</f>
        <v>13052</v>
      </c>
    </row>
    <row r="64" spans="1:6" s="28" customFormat="1" x14ac:dyDescent="0.25">
      <c r="A64" s="33" t="s">
        <v>748</v>
      </c>
      <c r="B64" s="34" t="s">
        <v>984</v>
      </c>
      <c r="C64" s="30" t="s">
        <v>1127</v>
      </c>
      <c r="D64" s="32" t="s">
        <v>1128</v>
      </c>
      <c r="E64" s="5">
        <f>IF('зведена (БАЛАНС) (2)'!E64&gt;'зведена (БАЛАНС) (2)'!F64,'зведена (БАЛАНС) (2)'!E64-'зведена (БАЛАНС) (2)'!F64,0)</f>
        <v>0</v>
      </c>
      <c r="F64" s="5">
        <f>IF('зведена (БАЛАНС) (2)'!F64&gt;'зведена (БАЛАНС) (2)'!E64,'зведена (БАЛАНС) (2)'!F64-'зведена (БАЛАНС) (2)'!E64,0)</f>
        <v>7641.9</v>
      </c>
    </row>
    <row r="65" spans="1:6" s="28" customFormat="1" x14ac:dyDescent="0.25">
      <c r="A65" s="33" t="s">
        <v>748</v>
      </c>
      <c r="B65" s="34" t="s">
        <v>985</v>
      </c>
      <c r="C65" s="30" t="s">
        <v>1129</v>
      </c>
      <c r="D65" s="32" t="s">
        <v>1130</v>
      </c>
      <c r="E65" s="5">
        <f>IF('зведена (БАЛАНС) (2)'!E65&gt;'зведена (БАЛАНС) (2)'!F65,'зведена (БАЛАНС) (2)'!E65-'зведена (БАЛАНС) (2)'!F65,0)</f>
        <v>0</v>
      </c>
      <c r="F65" s="5">
        <f>IF('зведена (БАЛАНС) (2)'!F65&gt;'зведена (БАЛАНС) (2)'!E65,'зведена (БАЛАНС) (2)'!F65-'зведена (БАЛАНС) (2)'!E65,0)</f>
        <v>0</v>
      </c>
    </row>
    <row r="66" spans="1:6" s="28" customFormat="1" x14ac:dyDescent="0.25">
      <c r="A66" s="33" t="s">
        <v>748</v>
      </c>
      <c r="B66" s="34" t="s">
        <v>983</v>
      </c>
      <c r="C66" s="30" t="s">
        <v>1131</v>
      </c>
      <c r="D66" s="32" t="s">
        <v>1132</v>
      </c>
      <c r="E66" s="5">
        <f>IF('зведена (БАЛАНС) (2)'!E66&gt;'зведена (БАЛАНС) (2)'!F66,'зведена (БАЛАНС) (2)'!E66-'зведена (БАЛАНС) (2)'!F66,0)</f>
        <v>0</v>
      </c>
      <c r="F66" s="5">
        <f>IF('зведена (БАЛАНС) (2)'!F66&gt;'зведена (БАЛАНС) (2)'!E66,'зведена (БАЛАНС) (2)'!F66-'зведена (БАЛАНС) (2)'!E66,0)</f>
        <v>11549.7</v>
      </c>
    </row>
    <row r="67" spans="1:6" s="28" customFormat="1" x14ac:dyDescent="0.25">
      <c r="A67" s="33" t="s">
        <v>748</v>
      </c>
      <c r="B67" s="34" t="s">
        <v>984</v>
      </c>
      <c r="C67" s="30" t="s">
        <v>1133</v>
      </c>
      <c r="D67" s="32" t="s">
        <v>1134</v>
      </c>
      <c r="E67" s="5">
        <f>IF('зведена (БАЛАНС) (2)'!E67&gt;'зведена (БАЛАНС) (2)'!F67,'зведена (БАЛАНС) (2)'!E67-'зведена (БАЛАНС) (2)'!F67,0)</f>
        <v>0</v>
      </c>
      <c r="F67" s="5">
        <f>IF('зведена (БАЛАНС) (2)'!F67&gt;'зведена (БАЛАНС) (2)'!E67,'зведена (БАЛАНС) (2)'!F67-'зведена (БАЛАНС) (2)'!E67,0)</f>
        <v>0</v>
      </c>
    </row>
    <row r="68" spans="1:6" s="28" customFormat="1" x14ac:dyDescent="0.25">
      <c r="A68" s="33" t="s">
        <v>748</v>
      </c>
      <c r="B68" s="34" t="s">
        <v>984</v>
      </c>
      <c r="C68" s="30" t="s">
        <v>1136</v>
      </c>
      <c r="D68" s="32" t="s">
        <v>2868</v>
      </c>
      <c r="E68" s="5">
        <f>IF('зведена (БАЛАНС) (2)'!E68&gt;'зведена (БАЛАНС) (2)'!F68,'зведена (БАЛАНС) (2)'!E68-'зведена (БАЛАНС) (2)'!F68,0)</f>
        <v>0</v>
      </c>
      <c r="F68" s="5">
        <f>IF('зведена (БАЛАНС) (2)'!F68&gt;'зведена (БАЛАНС) (2)'!E68,'зведена (БАЛАНС) (2)'!F68-'зведена (БАЛАНС) (2)'!E68,0)</f>
        <v>6807.8</v>
      </c>
    </row>
    <row r="69" spans="1:6" s="28" customFormat="1" x14ac:dyDescent="0.25">
      <c r="A69" s="33" t="s">
        <v>748</v>
      </c>
      <c r="B69" s="34" t="s">
        <v>985</v>
      </c>
      <c r="C69" s="30" t="s">
        <v>1138</v>
      </c>
      <c r="D69" s="32" t="s">
        <v>1137</v>
      </c>
      <c r="E69" s="5">
        <f>IF('зведена (БАЛАНС) (2)'!E69&gt;'зведена (БАЛАНС) (2)'!F69,'зведена (БАЛАНС) (2)'!E69-'зведена (БАЛАНС) (2)'!F69,0)</f>
        <v>0</v>
      </c>
      <c r="F69" s="5">
        <f>IF('зведена (БАЛАНС) (2)'!F69&gt;'зведена (БАЛАНС) (2)'!E69,'зведена (БАЛАНС) (2)'!F69-'зведена (БАЛАНС) (2)'!E69,0)</f>
        <v>15742.3</v>
      </c>
    </row>
    <row r="70" spans="1:6" s="28" customFormat="1" x14ac:dyDescent="0.25">
      <c r="A70" s="33" t="s">
        <v>748</v>
      </c>
      <c r="B70" s="34" t="s">
        <v>985</v>
      </c>
      <c r="C70" s="30" t="s">
        <v>1140</v>
      </c>
      <c r="D70" s="32" t="s">
        <v>1139</v>
      </c>
      <c r="E70" s="5">
        <f>IF('зведена (БАЛАНС) (2)'!E70&gt;'зведена (БАЛАНС) (2)'!F70,'зведена (БАЛАНС) (2)'!E70-'зведена (БАЛАНС) (2)'!F70,0)</f>
        <v>289</v>
      </c>
      <c r="F70" s="5">
        <f>IF('зведена (БАЛАНС) (2)'!F70&gt;'зведена (БАЛАНС) (2)'!E70,'зведена (БАЛАНС) (2)'!F70-'зведена (БАЛАНС) (2)'!E70,0)</f>
        <v>0</v>
      </c>
    </row>
    <row r="71" spans="1:6" s="28" customFormat="1" x14ac:dyDescent="0.25">
      <c r="A71" s="33" t="s">
        <v>748</v>
      </c>
      <c r="B71" s="34" t="s">
        <v>985</v>
      </c>
      <c r="C71" s="30" t="s">
        <v>1142</v>
      </c>
      <c r="D71" s="32" t="s">
        <v>1141</v>
      </c>
      <c r="E71" s="5">
        <f>IF('зведена (БАЛАНС) (2)'!E71&gt;'зведена (БАЛАНС) (2)'!F71,'зведена (БАЛАНС) (2)'!E71-'зведена (БАЛАНС) (2)'!F71,0)</f>
        <v>0</v>
      </c>
      <c r="F71" s="5">
        <f>IF('зведена (БАЛАНС) (2)'!F71&gt;'зведена (БАЛАНС) (2)'!E71,'зведена (БАЛАНС) (2)'!F71-'зведена (БАЛАНС) (2)'!E71,0)</f>
        <v>17368.7</v>
      </c>
    </row>
    <row r="72" spans="1:6" s="28" customFormat="1" x14ac:dyDescent="0.25">
      <c r="A72" s="33" t="s">
        <v>748</v>
      </c>
      <c r="B72" s="34" t="s">
        <v>984</v>
      </c>
      <c r="C72" s="30" t="s">
        <v>1144</v>
      </c>
      <c r="D72" s="32" t="s">
        <v>1143</v>
      </c>
      <c r="E72" s="5">
        <f>IF('зведена (БАЛАНС) (2)'!E72&gt;'зведена (БАЛАНС) (2)'!F72,'зведена (БАЛАНС) (2)'!E72-'зведена (БАЛАНС) (2)'!F72,0)</f>
        <v>0</v>
      </c>
      <c r="F72" s="5">
        <f>IF('зведена (БАЛАНС) (2)'!F72&gt;'зведена (БАЛАНС) (2)'!E72,'зведена (БАЛАНС) (2)'!F72-'зведена (БАЛАНС) (2)'!E72,0)</f>
        <v>11573.2</v>
      </c>
    </row>
    <row r="73" spans="1:6" s="28" customFormat="1" x14ac:dyDescent="0.25">
      <c r="A73" s="33" t="s">
        <v>748</v>
      </c>
      <c r="B73" s="34" t="s">
        <v>985</v>
      </c>
      <c r="C73" s="30" t="s">
        <v>1146</v>
      </c>
      <c r="D73" s="32" t="s">
        <v>1145</v>
      </c>
      <c r="E73" s="5">
        <f>IF('зведена (БАЛАНС) (2)'!E73&gt;'зведена (БАЛАНС) (2)'!F73,'зведена (БАЛАНС) (2)'!E73-'зведена (БАЛАНС) (2)'!F73,0)</f>
        <v>0</v>
      </c>
      <c r="F73" s="5">
        <f>IF('зведена (БАЛАНС) (2)'!F73&gt;'зведена (БАЛАНС) (2)'!E73,'зведена (БАЛАНС) (2)'!F73-'зведена (БАЛАНС) (2)'!E73,0)</f>
        <v>13689.3</v>
      </c>
    </row>
    <row r="74" spans="1:6" s="28" customFormat="1" x14ac:dyDescent="0.25">
      <c r="A74" s="33" t="s">
        <v>748</v>
      </c>
      <c r="B74" s="34" t="s">
        <v>985</v>
      </c>
      <c r="C74" s="30" t="s">
        <v>1147</v>
      </c>
      <c r="D74" s="32" t="s">
        <v>2824</v>
      </c>
      <c r="E74" s="5">
        <f>IF('зведена (БАЛАНС) (2)'!E74&gt;'зведена (БАЛАНС) (2)'!F74,'зведена (БАЛАНС) (2)'!E74-'зведена (БАЛАНС) (2)'!F74,0)</f>
        <v>0</v>
      </c>
      <c r="F74" s="5">
        <f>IF('зведена (БАЛАНС) (2)'!F74&gt;'зведена (БАЛАНС) (2)'!E74,'зведена (БАЛАНС) (2)'!F74-'зведена (БАЛАНС) (2)'!E74,0)</f>
        <v>10103.6</v>
      </c>
    </row>
    <row r="75" spans="1:6" s="28" customFormat="1" x14ac:dyDescent="0.25">
      <c r="A75" s="33" t="s">
        <v>748</v>
      </c>
      <c r="B75" s="34" t="s">
        <v>983</v>
      </c>
      <c r="C75" s="30" t="s">
        <v>1149</v>
      </c>
      <c r="D75" s="32" t="s">
        <v>1148</v>
      </c>
      <c r="E75" s="5">
        <f>IF('зведена (БАЛАНС) (2)'!E75&gt;'зведена (БАЛАНС) (2)'!F75,'зведена (БАЛАНС) (2)'!E75-'зведена (БАЛАНС) (2)'!F75,0)</f>
        <v>0</v>
      </c>
      <c r="F75" s="5">
        <f>IF('зведена (БАЛАНС) (2)'!F75&gt;'зведена (БАЛАНС) (2)'!E75,'зведена (БАЛАНС) (2)'!F75-'зведена (БАЛАНС) (2)'!E75,0)</f>
        <v>17020.900000000001</v>
      </c>
    </row>
    <row r="76" spans="1:6" s="27" customFormat="1" x14ac:dyDescent="0.25">
      <c r="A76" s="33" t="s">
        <v>748</v>
      </c>
      <c r="B76" s="34" t="s">
        <v>983</v>
      </c>
      <c r="C76" s="30" t="s">
        <v>1151</v>
      </c>
      <c r="D76" s="32" t="s">
        <v>1150</v>
      </c>
      <c r="E76" s="5">
        <f>IF('зведена (БАЛАНС) (2)'!E76&gt;'зведена (БАЛАНС) (2)'!F76,'зведена (БАЛАНС) (2)'!E76-'зведена (БАЛАНС) (2)'!F76,0)</f>
        <v>0</v>
      </c>
      <c r="F76" s="5">
        <f>IF('зведена (БАЛАНС) (2)'!F76&gt;'зведена (БАЛАНС) (2)'!E76,'зведена (БАЛАНС) (2)'!F76-'зведена (БАЛАНС) (2)'!E76,0)</f>
        <v>23441.599999999999</v>
      </c>
    </row>
    <row r="77" spans="1:6" x14ac:dyDescent="0.25">
      <c r="A77" s="33" t="s">
        <v>748</v>
      </c>
      <c r="B77" s="34" t="s">
        <v>984</v>
      </c>
      <c r="C77" s="30" t="s">
        <v>2767</v>
      </c>
      <c r="D77" s="32" t="s">
        <v>1152</v>
      </c>
      <c r="E77" s="5">
        <f>IF('зведена (БАЛАНС) (2)'!E77&gt;'зведена (БАЛАНС) (2)'!F77,'зведена (БАЛАНС) (2)'!E77-'зведена (БАЛАНС) (2)'!F77,0)</f>
        <v>0</v>
      </c>
      <c r="F77" s="5">
        <f>IF('зведена (БАЛАНС) (2)'!F77&gt;'зведена (БАЛАНС) (2)'!E77,'зведена (БАЛАНС) (2)'!F77-'зведена (БАЛАНС) (2)'!E77,0)</f>
        <v>4409.2</v>
      </c>
    </row>
    <row r="78" spans="1:6" x14ac:dyDescent="0.25">
      <c r="A78" s="17" t="s">
        <v>752</v>
      </c>
      <c r="B78" s="17" t="s">
        <v>7</v>
      </c>
      <c r="C78" s="17" t="s">
        <v>753</v>
      </c>
      <c r="D78" s="11" t="s">
        <v>9</v>
      </c>
      <c r="E78" s="11">
        <f>E79+E80+E85</f>
        <v>171232.9</v>
      </c>
      <c r="F78" s="11">
        <f>F79+F80+F85</f>
        <v>867449.99999999988</v>
      </c>
    </row>
    <row r="79" spans="1:6" x14ac:dyDescent="0.25">
      <c r="A79" s="33" t="s">
        <v>752</v>
      </c>
      <c r="B79" s="34" t="s">
        <v>6</v>
      </c>
      <c r="C79" s="18" t="s">
        <v>35</v>
      </c>
      <c r="D79" s="32" t="s">
        <v>838</v>
      </c>
      <c r="E79" s="5">
        <f>IF('зведена (БАЛАНС) (2)'!E79&gt;'зведена (БАЛАНС) (2)'!F79,'зведена (БАЛАНС) (2)'!E79-'зведена (БАЛАНС) (2)'!F79,0)</f>
        <v>0</v>
      </c>
      <c r="F79" s="5">
        <f>IF('зведена (БАЛАНС) (2)'!F79&gt;'зведена (БАЛАНС) (2)'!E79,'зведена (БАЛАНС) (2)'!F79-'зведена (БАЛАНС) (2)'!E79,0)</f>
        <v>112641.40000000001</v>
      </c>
    </row>
    <row r="80" spans="1:6" x14ac:dyDescent="0.25">
      <c r="A80" s="19" t="s">
        <v>752</v>
      </c>
      <c r="B80" s="19" t="s">
        <v>5</v>
      </c>
      <c r="C80" s="19" t="s">
        <v>754</v>
      </c>
      <c r="D80" s="7" t="s">
        <v>2794</v>
      </c>
      <c r="E80" s="7">
        <f>SUM(E81:E84)</f>
        <v>0</v>
      </c>
      <c r="F80" s="7">
        <f>SUM(F81:F84)</f>
        <v>0</v>
      </c>
    </row>
    <row r="81" spans="1:6" x14ac:dyDescent="0.25">
      <c r="A81" s="33" t="s">
        <v>752</v>
      </c>
      <c r="B81" s="34" t="s">
        <v>4</v>
      </c>
      <c r="C81" s="18" t="s">
        <v>1153</v>
      </c>
      <c r="D81" s="32" t="s">
        <v>1154</v>
      </c>
      <c r="E81" s="5">
        <f>IF('зведена (БАЛАНС) (2)'!E81&gt;'зведена (БАЛАНС) (2)'!F81,'зведена (БАЛАНС) (2)'!E81-'зведена (БАЛАНС) (2)'!F81,0)</f>
        <v>0</v>
      </c>
      <c r="F81" s="5">
        <f>IF('зведена (БАЛАНС) (2)'!F81&gt;'зведена (БАЛАНС) (2)'!E81,'зведена (БАЛАНС) (2)'!F81-'зведена (БАЛАНС) (2)'!E81,0)</f>
        <v>0</v>
      </c>
    </row>
    <row r="82" spans="1:6" x14ac:dyDescent="0.25">
      <c r="A82" s="33" t="s">
        <v>752</v>
      </c>
      <c r="B82" s="34" t="s">
        <v>4</v>
      </c>
      <c r="C82" s="18" t="s">
        <v>36</v>
      </c>
      <c r="D82" s="32" t="s">
        <v>888</v>
      </c>
      <c r="E82" s="5">
        <f>IF('зведена (БАЛАНС) (2)'!E82&gt;'зведена (БАЛАНС) (2)'!F82,'зведена (БАЛАНС) (2)'!E82-'зведена (БАЛАНС) (2)'!F82,0)</f>
        <v>0</v>
      </c>
      <c r="F82" s="5">
        <f>IF('зведена (БАЛАНС) (2)'!F82&gt;'зведена (БАЛАНС) (2)'!E82,'зведена (БАЛАНС) (2)'!F82-'зведена (БАЛАНС) (2)'!E82,0)</f>
        <v>0</v>
      </c>
    </row>
    <row r="83" spans="1:6" x14ac:dyDescent="0.25">
      <c r="A83" s="33" t="s">
        <v>752</v>
      </c>
      <c r="B83" s="34" t="s">
        <v>4</v>
      </c>
      <c r="C83" s="18" t="s">
        <v>37</v>
      </c>
      <c r="D83" s="32" t="s">
        <v>889</v>
      </c>
      <c r="E83" s="5">
        <f>IF('зведена (БАЛАНС) (2)'!E83&gt;'зведена (БАЛАНС) (2)'!F83,'зведена (БАЛАНС) (2)'!E83-'зведена (БАЛАНС) (2)'!F83,0)</f>
        <v>0</v>
      </c>
      <c r="F83" s="5">
        <f>IF('зведена (БАЛАНС) (2)'!F83&gt;'зведена (БАЛАНС) (2)'!E83,'зведена (БАЛАНС) (2)'!F83-'зведена (БАЛАНС) (2)'!E83,0)</f>
        <v>0</v>
      </c>
    </row>
    <row r="84" spans="1:6" x14ac:dyDescent="0.25">
      <c r="A84" s="33" t="s">
        <v>752</v>
      </c>
      <c r="B84" s="34" t="s">
        <v>4</v>
      </c>
      <c r="C84" s="18" t="s">
        <v>38</v>
      </c>
      <c r="D84" s="32" t="s">
        <v>890</v>
      </c>
      <c r="E84" s="5">
        <f>IF('зведена (БАЛАНС) (2)'!E84&gt;'зведена (БАЛАНС) (2)'!F84,'зведена (БАЛАНС) (2)'!E84-'зведена (БАЛАНС) (2)'!F84,0)</f>
        <v>0</v>
      </c>
      <c r="F84" s="5">
        <f>IF('зведена (БАЛАНС) (2)'!F84&gt;'зведена (БАЛАНС) (2)'!E84,'зведена (БАЛАНС) (2)'!F84-'зведена (БАЛАНС) (2)'!E84,0)</f>
        <v>0</v>
      </c>
    </row>
    <row r="85" spans="1:6" x14ac:dyDescent="0.25">
      <c r="A85" s="19" t="s">
        <v>752</v>
      </c>
      <c r="B85" s="19" t="s">
        <v>28</v>
      </c>
      <c r="C85" s="19" t="s">
        <v>755</v>
      </c>
      <c r="D85" s="20" t="s">
        <v>2769</v>
      </c>
      <c r="E85" s="7">
        <f>SUM(E86:E139)</f>
        <v>171232.9</v>
      </c>
      <c r="F85" s="7">
        <f>SUM(F86:F139)</f>
        <v>754808.59999999986</v>
      </c>
    </row>
    <row r="86" spans="1:6" x14ac:dyDescent="0.25">
      <c r="A86" s="33" t="s">
        <v>752</v>
      </c>
      <c r="B86" s="34" t="s">
        <v>984</v>
      </c>
      <c r="C86" s="18" t="s">
        <v>39</v>
      </c>
      <c r="D86" s="32" t="s">
        <v>1155</v>
      </c>
      <c r="E86" s="5">
        <f>IF('зведена (БАЛАНС) (2)'!E86&gt;'зведена (БАЛАНС) (2)'!F86,'зведена (БАЛАНС) (2)'!E86-'зведена (БАЛАНС) (2)'!F86,0)</f>
        <v>0</v>
      </c>
      <c r="F86" s="5">
        <f>IF('зведена (БАЛАНС) (2)'!F86&gt;'зведена (БАЛАНС) (2)'!E86,'зведена (БАЛАНС) (2)'!F86-'зведена (БАЛАНС) (2)'!E86,0)</f>
        <v>6739.4</v>
      </c>
    </row>
    <row r="87" spans="1:6" x14ac:dyDescent="0.25">
      <c r="A87" s="33" t="s">
        <v>752</v>
      </c>
      <c r="B87" s="34" t="s">
        <v>985</v>
      </c>
      <c r="C87" s="18" t="s">
        <v>40</v>
      </c>
      <c r="D87" s="32" t="s">
        <v>1156</v>
      </c>
      <c r="E87" s="5">
        <f>IF('зведена (БАЛАНС) (2)'!E87&gt;'зведена (БАЛАНС) (2)'!F87,'зведена (БАЛАНС) (2)'!E87-'зведена (БАЛАНС) (2)'!F87,0)</f>
        <v>0</v>
      </c>
      <c r="F87" s="5">
        <f>IF('зведена (БАЛАНС) (2)'!F87&gt;'зведена (БАЛАНС) (2)'!E87,'зведена (БАЛАНС) (2)'!F87-'зведена (БАЛАНС) (2)'!E87,0)</f>
        <v>11558</v>
      </c>
    </row>
    <row r="88" spans="1:6" x14ac:dyDescent="0.25">
      <c r="A88" s="33" t="s">
        <v>752</v>
      </c>
      <c r="B88" s="34" t="s">
        <v>984</v>
      </c>
      <c r="C88" s="18" t="s">
        <v>41</v>
      </c>
      <c r="D88" s="32" t="s">
        <v>2869</v>
      </c>
      <c r="E88" s="5">
        <f>IF('зведена (БАЛАНС) (2)'!E88&gt;'зведена (БАЛАНС) (2)'!F88,'зведена (БАЛАНС) (2)'!E88-'зведена (БАЛАНС) (2)'!F88,0)</f>
        <v>0</v>
      </c>
      <c r="F88" s="5">
        <f>IF('зведена (БАЛАНС) (2)'!F88&gt;'зведена (БАЛАНС) (2)'!E88,'зведена (БАЛАНС) (2)'!F88-'зведена (БАЛАНС) (2)'!E88,0)</f>
        <v>11851.3</v>
      </c>
    </row>
    <row r="89" spans="1:6" x14ac:dyDescent="0.25">
      <c r="A89" s="33" t="s">
        <v>752</v>
      </c>
      <c r="B89" s="34" t="s">
        <v>983</v>
      </c>
      <c r="C89" s="18" t="s">
        <v>42</v>
      </c>
      <c r="D89" s="32" t="s">
        <v>1158</v>
      </c>
      <c r="E89" s="5">
        <f>IF('зведена (БАЛАНС) (2)'!E89&gt;'зведена (БАЛАНС) (2)'!F89,'зведена (БАЛАНС) (2)'!E89-'зведена (БАЛАНС) (2)'!F89,0)</f>
        <v>0</v>
      </c>
      <c r="F89" s="5">
        <f>IF('зведена (БАЛАНС) (2)'!F89&gt;'зведена (БАЛАНС) (2)'!E89,'зведена (БАЛАНС) (2)'!F89-'зведена (БАЛАНС) (2)'!E89,0)</f>
        <v>373.3</v>
      </c>
    </row>
    <row r="90" spans="1:6" x14ac:dyDescent="0.25">
      <c r="A90" s="33" t="s">
        <v>752</v>
      </c>
      <c r="B90" s="34" t="s">
        <v>985</v>
      </c>
      <c r="C90" s="18" t="s">
        <v>281</v>
      </c>
      <c r="D90" s="32" t="s">
        <v>1159</v>
      </c>
      <c r="E90" s="5">
        <f>IF('зведена (БАЛАНС) (2)'!E90&gt;'зведена (БАЛАНС) (2)'!F90,'зведена (БАЛАНС) (2)'!E90-'зведена (БАЛАНС) (2)'!F90,0)</f>
        <v>0</v>
      </c>
      <c r="F90" s="5">
        <f>IF('зведена (БАЛАНС) (2)'!F90&gt;'зведена (БАЛАНС) (2)'!E90,'зведена (БАЛАНС) (2)'!F90-'зведена (БАЛАНС) (2)'!E90,0)</f>
        <v>8778.2000000000007</v>
      </c>
    </row>
    <row r="91" spans="1:6" x14ac:dyDescent="0.25">
      <c r="A91" s="33" t="s">
        <v>752</v>
      </c>
      <c r="B91" s="34" t="s">
        <v>985</v>
      </c>
      <c r="C91" s="18" t="s">
        <v>292</v>
      </c>
      <c r="D91" s="32" t="s">
        <v>1160</v>
      </c>
      <c r="E91" s="5">
        <f>IF('зведена (БАЛАНС) (2)'!E91&gt;'зведена (БАЛАНС) (2)'!F91,'зведена (БАЛАНС) (2)'!E91-'зведена (БАЛАНС) (2)'!F91,0)</f>
        <v>0</v>
      </c>
      <c r="F91" s="5">
        <f>IF('зведена (БАЛАНС) (2)'!F91&gt;'зведена (БАЛАНС) (2)'!E91,'зведена (БАЛАНС) (2)'!F91-'зведена (БАЛАНС) (2)'!E91,0)</f>
        <v>15755.6</v>
      </c>
    </row>
    <row r="92" spans="1:6" s="28" customFormat="1" x14ac:dyDescent="0.25">
      <c r="A92" s="33" t="s">
        <v>752</v>
      </c>
      <c r="B92" s="34" t="s">
        <v>985</v>
      </c>
      <c r="C92" s="18" t="s">
        <v>319</v>
      </c>
      <c r="D92" s="32" t="s">
        <v>1161</v>
      </c>
      <c r="E92" s="5">
        <f>IF('зведена (БАЛАНС) (2)'!E92&gt;'зведена (БАЛАНС) (2)'!F92,'зведена (БАЛАНС) (2)'!E92-'зведена (БАЛАНС) (2)'!F92,0)</f>
        <v>0</v>
      </c>
      <c r="F92" s="5">
        <f>IF('зведена (БАЛАНС) (2)'!F92&gt;'зведена (БАЛАНС) (2)'!E92,'зведена (БАЛАНС) (2)'!F92-'зведена (БАЛАНС) (2)'!E92,0)</f>
        <v>16698.099999999999</v>
      </c>
    </row>
    <row r="93" spans="1:6" s="28" customFormat="1" x14ac:dyDescent="0.25">
      <c r="A93" s="33" t="s">
        <v>752</v>
      </c>
      <c r="B93" s="34" t="s">
        <v>984</v>
      </c>
      <c r="C93" s="18" t="s">
        <v>320</v>
      </c>
      <c r="D93" s="32" t="s">
        <v>1162</v>
      </c>
      <c r="E93" s="5">
        <f>IF('зведена (БАЛАНС) (2)'!E93&gt;'зведена (БАЛАНС) (2)'!F93,'зведена (БАЛАНС) (2)'!E93-'зведена (БАЛАНС) (2)'!F93,0)</f>
        <v>0</v>
      </c>
      <c r="F93" s="5">
        <f>IF('зведена (БАЛАНС) (2)'!F93&gt;'зведена (БАЛАНС) (2)'!E93,'зведена (БАЛАНС) (2)'!F93-'зведена (БАЛАНС) (2)'!E93,0)</f>
        <v>5715.5</v>
      </c>
    </row>
    <row r="94" spans="1:6" s="28" customFormat="1" x14ac:dyDescent="0.25">
      <c r="A94" s="33" t="s">
        <v>752</v>
      </c>
      <c r="B94" s="34" t="s">
        <v>984</v>
      </c>
      <c r="C94" s="18" t="s">
        <v>321</v>
      </c>
      <c r="D94" s="32" t="s">
        <v>1163</v>
      </c>
      <c r="E94" s="5">
        <f>IF('зведена (БАЛАНС) (2)'!E94&gt;'зведена (БАЛАНС) (2)'!F94,'зведена (БАЛАНС) (2)'!E94-'зведена (БАЛАНС) (2)'!F94,0)</f>
        <v>0</v>
      </c>
      <c r="F94" s="5">
        <f>IF('зведена (БАЛАНС) (2)'!F94&gt;'зведена (БАЛАНС) (2)'!E94,'зведена (БАЛАНС) (2)'!F94-'зведена (БАЛАНС) (2)'!E94,0)</f>
        <v>637.70000000000005</v>
      </c>
    </row>
    <row r="95" spans="1:6" s="28" customFormat="1" x14ac:dyDescent="0.25">
      <c r="A95" s="33" t="s">
        <v>752</v>
      </c>
      <c r="B95" s="34" t="s">
        <v>984</v>
      </c>
      <c r="C95" s="18" t="s">
        <v>322</v>
      </c>
      <c r="D95" s="32" t="s">
        <v>1164</v>
      </c>
      <c r="E95" s="5">
        <f>IF('зведена (БАЛАНС) (2)'!E95&gt;'зведена (БАЛАНС) (2)'!F95,'зведена (БАЛАНС) (2)'!E95-'зведена (БАЛАНС) (2)'!F95,0)</f>
        <v>0</v>
      </c>
      <c r="F95" s="5">
        <f>IF('зведена (БАЛАНС) (2)'!F95&gt;'зведена (БАЛАНС) (2)'!E95,'зведена (БАЛАНС) (2)'!F95-'зведена (БАЛАНС) (2)'!E95,0)</f>
        <v>12707</v>
      </c>
    </row>
    <row r="96" spans="1:6" s="28" customFormat="1" x14ac:dyDescent="0.25">
      <c r="A96" s="33" t="s">
        <v>752</v>
      </c>
      <c r="B96" s="34" t="s">
        <v>984</v>
      </c>
      <c r="C96" s="18" t="s">
        <v>323</v>
      </c>
      <c r="D96" s="32" t="s">
        <v>1165</v>
      </c>
      <c r="E96" s="5">
        <f>IF('зведена (БАЛАНС) (2)'!E96&gt;'зведена (БАЛАНС) (2)'!F96,'зведена (БАЛАНС) (2)'!E96-'зведена (БАЛАНС) (2)'!F96,0)</f>
        <v>0</v>
      </c>
      <c r="F96" s="5">
        <f>IF('зведена (БАЛАНС) (2)'!F96&gt;'зведена (БАЛАНС) (2)'!E96,'зведена (БАЛАНС) (2)'!F96-'зведена (БАЛАНС) (2)'!E96,0)</f>
        <v>6804.9</v>
      </c>
    </row>
    <row r="97" spans="1:6" s="28" customFormat="1" x14ac:dyDescent="0.25">
      <c r="A97" s="33" t="s">
        <v>752</v>
      </c>
      <c r="B97" s="34" t="s">
        <v>984</v>
      </c>
      <c r="C97" s="18" t="s">
        <v>324</v>
      </c>
      <c r="D97" s="32" t="s">
        <v>1166</v>
      </c>
      <c r="E97" s="5">
        <f>IF('зведена (БАЛАНС) (2)'!E97&gt;'зведена (БАЛАНС) (2)'!F97,'зведена (БАЛАНС) (2)'!E97-'зведена (БАЛАНС) (2)'!F97,0)</f>
        <v>0</v>
      </c>
      <c r="F97" s="5">
        <f>IF('зведена (БАЛАНС) (2)'!F97&gt;'зведена (БАЛАНС) (2)'!E97,'зведена (БАЛАНС) (2)'!F97-'зведена (БАЛАНС) (2)'!E97,0)</f>
        <v>0</v>
      </c>
    </row>
    <row r="98" spans="1:6" s="28" customFormat="1" x14ac:dyDescent="0.25">
      <c r="A98" s="33" t="s">
        <v>752</v>
      </c>
      <c r="B98" s="34" t="s">
        <v>984</v>
      </c>
      <c r="C98" s="18" t="s">
        <v>325</v>
      </c>
      <c r="D98" s="32" t="s">
        <v>1167</v>
      </c>
      <c r="E98" s="5">
        <f>IF('зведена (БАЛАНС) (2)'!E98&gt;'зведена (БАЛАНС) (2)'!F98,'зведена (БАЛАНС) (2)'!E98-'зведена (БАЛАНС) (2)'!F98,0)</f>
        <v>0</v>
      </c>
      <c r="F98" s="5">
        <f>IF('зведена (БАЛАНС) (2)'!F98&gt;'зведена (БАЛАНС) (2)'!E98,'зведена (БАЛАНС) (2)'!F98-'зведена (БАЛАНС) (2)'!E98,0)</f>
        <v>11790.1</v>
      </c>
    </row>
    <row r="99" spans="1:6" s="28" customFormat="1" x14ac:dyDescent="0.25">
      <c r="A99" s="33" t="s">
        <v>752</v>
      </c>
      <c r="B99" s="34" t="s">
        <v>984</v>
      </c>
      <c r="C99" s="18" t="s">
        <v>470</v>
      </c>
      <c r="D99" s="32" t="s">
        <v>1168</v>
      </c>
      <c r="E99" s="5">
        <f>IF('зведена (БАЛАНС) (2)'!E99&gt;'зведена (БАЛАНС) (2)'!F99,'зведена (БАЛАНС) (2)'!E99-'зведена (БАЛАНС) (2)'!F99,0)</f>
        <v>0</v>
      </c>
      <c r="F99" s="5">
        <f>IF('зведена (БАЛАНС) (2)'!F99&gt;'зведена (БАЛАНС) (2)'!E99,'зведена (БАЛАНС) (2)'!F99-'зведена (БАЛАНС) (2)'!E99,0)</f>
        <v>12917.7</v>
      </c>
    </row>
    <row r="100" spans="1:6" s="28" customFormat="1" x14ac:dyDescent="0.25">
      <c r="A100" s="33" t="s">
        <v>752</v>
      </c>
      <c r="B100" s="34" t="s">
        <v>984</v>
      </c>
      <c r="C100" s="18" t="s">
        <v>471</v>
      </c>
      <c r="D100" s="32" t="s">
        <v>1169</v>
      </c>
      <c r="E100" s="5">
        <f>IF('зведена (БАЛАНС) (2)'!E100&gt;'зведена (БАЛАНС) (2)'!F100,'зведена (БАЛАНС) (2)'!E100-'зведена (БАЛАНС) (2)'!F100,0)</f>
        <v>0</v>
      </c>
      <c r="F100" s="5">
        <f>IF('зведена (БАЛАНС) (2)'!F100&gt;'зведена (БАЛАНС) (2)'!E100,'зведена (БАЛАНС) (2)'!F100-'зведена (БАЛАНС) (2)'!E100,0)</f>
        <v>1462.2</v>
      </c>
    </row>
    <row r="101" spans="1:6" s="28" customFormat="1" x14ac:dyDescent="0.25">
      <c r="A101" s="33" t="s">
        <v>752</v>
      </c>
      <c r="B101" s="34" t="s">
        <v>984</v>
      </c>
      <c r="C101" s="18" t="s">
        <v>472</v>
      </c>
      <c r="D101" s="32" t="s">
        <v>1170</v>
      </c>
      <c r="E101" s="5">
        <f>IF('зведена (БАЛАНС) (2)'!E101&gt;'зведена (БАЛАНС) (2)'!F101,'зведена (БАЛАНС) (2)'!E101-'зведена (БАЛАНС) (2)'!F101,0)</f>
        <v>0</v>
      </c>
      <c r="F101" s="5">
        <f>IF('зведена (БАЛАНС) (2)'!F101&gt;'зведена (БАЛАНС) (2)'!E101,'зведена (БАЛАНС) (2)'!F101-'зведена (БАЛАНС) (2)'!E101,0)</f>
        <v>19424.7</v>
      </c>
    </row>
    <row r="102" spans="1:6" s="28" customFormat="1" x14ac:dyDescent="0.25">
      <c r="A102" s="33" t="s">
        <v>752</v>
      </c>
      <c r="B102" s="34" t="s">
        <v>984</v>
      </c>
      <c r="C102" s="18" t="s">
        <v>473</v>
      </c>
      <c r="D102" s="32" t="s">
        <v>1171</v>
      </c>
      <c r="E102" s="5">
        <f>IF('зведена (БАЛАНС) (2)'!E102&gt;'зведена (БАЛАНС) (2)'!F102,'зведена (БАЛАНС) (2)'!E102-'зведена (БАЛАНС) (2)'!F102,0)</f>
        <v>0</v>
      </c>
      <c r="F102" s="5">
        <f>IF('зведена (БАЛАНС) (2)'!F102&gt;'зведена (БАЛАНС) (2)'!E102,'зведена (БАЛАНС) (2)'!F102-'зведена (БАЛАНС) (2)'!E102,0)</f>
        <v>9738.2000000000007</v>
      </c>
    </row>
    <row r="103" spans="1:6" s="28" customFormat="1" x14ac:dyDescent="0.25">
      <c r="A103" s="33" t="s">
        <v>752</v>
      </c>
      <c r="B103" s="34" t="s">
        <v>985</v>
      </c>
      <c r="C103" s="18" t="s">
        <v>516</v>
      </c>
      <c r="D103" s="32" t="s">
        <v>1172</v>
      </c>
      <c r="E103" s="5">
        <f>IF('зведена (БАЛАНС) (2)'!E103&gt;'зведена (БАЛАНС) (2)'!F103,'зведена (БАЛАНС) (2)'!E103-'зведена (БАЛАНС) (2)'!F103,0)</f>
        <v>0</v>
      </c>
      <c r="F103" s="5">
        <f>IF('зведена (БАЛАНС) (2)'!F103&gt;'зведена (БАЛАНС) (2)'!E103,'зведена (БАЛАНС) (2)'!F103-'зведена (БАЛАНС) (2)'!E103,0)</f>
        <v>10180.700000000001</v>
      </c>
    </row>
    <row r="104" spans="1:6" s="28" customFormat="1" x14ac:dyDescent="0.25">
      <c r="A104" s="33" t="s">
        <v>752</v>
      </c>
      <c r="B104" s="34" t="s">
        <v>985</v>
      </c>
      <c r="C104" s="18" t="s">
        <v>517</v>
      </c>
      <c r="D104" s="32" t="s">
        <v>1173</v>
      </c>
      <c r="E104" s="5">
        <f>IF('зведена (БАЛАНС) (2)'!E104&gt;'зведена (БАЛАНС) (2)'!F104,'зведена (БАЛАНС) (2)'!E104-'зведена (БАЛАНС) (2)'!F104,0)</f>
        <v>0</v>
      </c>
      <c r="F104" s="5">
        <f>IF('зведена (БАЛАНС) (2)'!F104&gt;'зведена (БАЛАНС) (2)'!E104,'зведена (БАЛАНС) (2)'!F104-'зведена (БАЛАНС) (2)'!E104,0)</f>
        <v>24318.1</v>
      </c>
    </row>
    <row r="105" spans="1:6" s="28" customFormat="1" x14ac:dyDescent="0.25">
      <c r="A105" s="33" t="s">
        <v>752</v>
      </c>
      <c r="B105" s="34" t="s">
        <v>984</v>
      </c>
      <c r="C105" s="18" t="s">
        <v>518</v>
      </c>
      <c r="D105" s="32" t="s">
        <v>1174</v>
      </c>
      <c r="E105" s="5">
        <f>IF('зведена (БАЛАНС) (2)'!E105&gt;'зведена (БАЛАНС) (2)'!F105,'зведена (БАЛАНС) (2)'!E105-'зведена (БАЛАНС) (2)'!F105,0)</f>
        <v>22117</v>
      </c>
      <c r="F105" s="5">
        <f>IF('зведена (БАЛАНС) (2)'!F105&gt;'зведена (БАЛАНС) (2)'!E105,'зведена (БАЛАНС) (2)'!F105-'зведена (БАЛАНС) (2)'!E105,0)</f>
        <v>0</v>
      </c>
    </row>
    <row r="106" spans="1:6" s="28" customFormat="1" x14ac:dyDescent="0.25">
      <c r="A106" s="33" t="s">
        <v>752</v>
      </c>
      <c r="B106" s="34" t="s">
        <v>985</v>
      </c>
      <c r="C106" s="18" t="s">
        <v>519</v>
      </c>
      <c r="D106" s="32" t="s">
        <v>1175</v>
      </c>
      <c r="E106" s="5">
        <f>IF('зведена (БАЛАНС) (2)'!E106&gt;'зведена (БАЛАНС) (2)'!F106,'зведена (БАЛАНС) (2)'!E106-'зведена (БАЛАНС) (2)'!F106,0)</f>
        <v>0</v>
      </c>
      <c r="F106" s="5">
        <f>IF('зведена (БАЛАНС) (2)'!F106&gt;'зведена (БАЛАНС) (2)'!E106,'зведена (БАЛАНС) (2)'!F106-'зведена (БАЛАНС) (2)'!E106,0)</f>
        <v>42089.9</v>
      </c>
    </row>
    <row r="107" spans="1:6" s="28" customFormat="1" x14ac:dyDescent="0.25">
      <c r="A107" s="33" t="s">
        <v>752</v>
      </c>
      <c r="B107" s="34" t="s">
        <v>984</v>
      </c>
      <c r="C107" s="18" t="s">
        <v>520</v>
      </c>
      <c r="D107" s="32" t="s">
        <v>1176</v>
      </c>
      <c r="E107" s="5">
        <f>IF('зведена (БАЛАНС) (2)'!E107&gt;'зведена (БАЛАНС) (2)'!F107,'зведена (БАЛАНС) (2)'!E107-'зведена (БАЛАНС) (2)'!F107,0)</f>
        <v>0</v>
      </c>
      <c r="F107" s="5">
        <f>IF('зведена (БАЛАНС) (2)'!F107&gt;'зведена (БАЛАНС) (2)'!E107,'зведена (БАЛАНС) (2)'!F107-'зведена (БАЛАНС) (2)'!E107,0)</f>
        <v>5486</v>
      </c>
    </row>
    <row r="108" spans="1:6" s="27" customFormat="1" x14ac:dyDescent="0.25">
      <c r="A108" s="33" t="s">
        <v>752</v>
      </c>
      <c r="B108" s="34" t="s">
        <v>985</v>
      </c>
      <c r="C108" s="18" t="s">
        <v>521</v>
      </c>
      <c r="D108" s="32" t="s">
        <v>1177</v>
      </c>
      <c r="E108" s="5">
        <f>IF('зведена (БАЛАНС) (2)'!E108&gt;'зведена (БАЛАНС) (2)'!F108,'зведена (БАЛАНС) (2)'!E108-'зведена (БАЛАНС) (2)'!F108,0)</f>
        <v>0</v>
      </c>
      <c r="F108" s="5">
        <f>IF('зведена (БАЛАНС) (2)'!F108&gt;'зведена (БАЛАНС) (2)'!E108,'зведена (БАЛАНС) (2)'!F108-'зведена (БАЛАНС) (2)'!E108,0)</f>
        <v>11693.9</v>
      </c>
    </row>
    <row r="109" spans="1:6" s="29" customFormat="1" x14ac:dyDescent="0.25">
      <c r="A109" s="33" t="s">
        <v>752</v>
      </c>
      <c r="B109" s="34" t="s">
        <v>983</v>
      </c>
      <c r="C109" s="18" t="s">
        <v>522</v>
      </c>
      <c r="D109" s="32" t="s">
        <v>1178</v>
      </c>
      <c r="E109" s="5">
        <f>IF('зведена (БАЛАНС) (2)'!E109&gt;'зведена (БАЛАНС) (2)'!F109,'зведена (БАЛАНС) (2)'!E109-'зведена (БАЛАНС) (2)'!F109,0)</f>
        <v>0</v>
      </c>
      <c r="F109" s="5">
        <f>IF('зведена (БАЛАНС) (2)'!F109&gt;'зведена (БАЛАНС) (2)'!E109,'зведена (БАЛАНС) (2)'!F109-'зведена (БАЛАНС) (2)'!E109,0)</f>
        <v>16160.2</v>
      </c>
    </row>
    <row r="110" spans="1:6" s="29" customFormat="1" x14ac:dyDescent="0.25">
      <c r="A110" s="33" t="s">
        <v>752</v>
      </c>
      <c r="B110" s="34" t="s">
        <v>985</v>
      </c>
      <c r="C110" s="18" t="s">
        <v>523</v>
      </c>
      <c r="D110" s="32" t="s">
        <v>1179</v>
      </c>
      <c r="E110" s="5">
        <f>IF('зведена (БАЛАНС) (2)'!E110&gt;'зведена (БАЛАНС) (2)'!F110,'зведена (БАЛАНС) (2)'!E110-'зведена (БАЛАНС) (2)'!F110,0)</f>
        <v>0</v>
      </c>
      <c r="F110" s="5">
        <f>IF('зведена (БАЛАНС) (2)'!F110&gt;'зведена (БАЛАНС) (2)'!E110,'зведена (БАЛАНС) (2)'!F110-'зведена (БАЛАНС) (2)'!E110,0)</f>
        <v>33324.199999999997</v>
      </c>
    </row>
    <row r="111" spans="1:6" s="29" customFormat="1" x14ac:dyDescent="0.25">
      <c r="A111" s="33" t="s">
        <v>752</v>
      </c>
      <c r="B111" s="34" t="s">
        <v>984</v>
      </c>
      <c r="C111" s="18" t="s">
        <v>524</v>
      </c>
      <c r="D111" s="32" t="s">
        <v>1180</v>
      </c>
      <c r="E111" s="5">
        <f>IF('зведена (БАЛАНС) (2)'!E111&gt;'зведена (БАЛАНС) (2)'!F111,'зведена (БАЛАНС) (2)'!E111-'зведена (БАЛАНС) (2)'!F111,0)</f>
        <v>0</v>
      </c>
      <c r="F111" s="5">
        <f>IF('зведена (БАЛАНС) (2)'!F111&gt;'зведена (БАЛАНС) (2)'!E111,'зведена (БАЛАНС) (2)'!F111-'зведена (БАЛАНС) (2)'!E111,0)</f>
        <v>7452.5</v>
      </c>
    </row>
    <row r="112" spans="1:6" s="29" customFormat="1" x14ac:dyDescent="0.25">
      <c r="A112" s="33" t="s">
        <v>752</v>
      </c>
      <c r="B112" s="34" t="s">
        <v>984</v>
      </c>
      <c r="C112" s="18" t="s">
        <v>525</v>
      </c>
      <c r="D112" s="32" t="s">
        <v>1181</v>
      </c>
      <c r="E112" s="5">
        <f>IF('зведена (БАЛАНС) (2)'!E112&gt;'зведена (БАЛАНС) (2)'!F112,'зведена (БАЛАНС) (2)'!E112-'зведена (БАЛАНС) (2)'!F112,0)</f>
        <v>0</v>
      </c>
      <c r="F112" s="5">
        <f>IF('зведена (БАЛАНС) (2)'!F112&gt;'зведена (БАЛАНС) (2)'!E112,'зведена (БАЛАНС) (2)'!F112-'зведена (БАЛАНС) (2)'!E112,0)</f>
        <v>7979.7</v>
      </c>
    </row>
    <row r="113" spans="1:6" s="29" customFormat="1" x14ac:dyDescent="0.25">
      <c r="A113" s="33" t="s">
        <v>752</v>
      </c>
      <c r="B113" s="34" t="s">
        <v>984</v>
      </c>
      <c r="C113" s="18" t="s">
        <v>526</v>
      </c>
      <c r="D113" s="32" t="s">
        <v>2870</v>
      </c>
      <c r="E113" s="5">
        <f>IF('зведена (БАЛАНС) (2)'!E113&gt;'зведена (БАЛАНС) (2)'!F113,'зведена (БАЛАНС) (2)'!E113-'зведена (БАЛАНС) (2)'!F113,0)</f>
        <v>0</v>
      </c>
      <c r="F113" s="5">
        <f>IF('зведена (БАЛАНС) (2)'!F113&gt;'зведена (БАЛАНС) (2)'!E113,'зведена (БАЛАНС) (2)'!F113-'зведена (БАЛАНС) (2)'!E113,0)</f>
        <v>17285.599999999999</v>
      </c>
    </row>
    <row r="114" spans="1:6" s="29" customFormat="1" x14ac:dyDescent="0.25">
      <c r="A114" s="33" t="s">
        <v>752</v>
      </c>
      <c r="B114" s="34" t="s">
        <v>984</v>
      </c>
      <c r="C114" s="18" t="s">
        <v>527</v>
      </c>
      <c r="D114" s="32" t="s">
        <v>1183</v>
      </c>
      <c r="E114" s="5">
        <f>IF('зведена (БАЛАНС) (2)'!E114&gt;'зведена (БАЛАНС) (2)'!F114,'зведена (БАЛАНС) (2)'!E114-'зведена (БАЛАНС) (2)'!F114,0)</f>
        <v>0</v>
      </c>
      <c r="F114" s="5">
        <f>IF('зведена (БАЛАНС) (2)'!F114&gt;'зведена (БАЛАНС) (2)'!E114,'зведена (БАЛАНС) (2)'!F114-'зведена (БАЛАНС) (2)'!E114,0)</f>
        <v>6117.7</v>
      </c>
    </row>
    <row r="115" spans="1:6" s="29" customFormat="1" x14ac:dyDescent="0.25">
      <c r="A115" s="33" t="s">
        <v>752</v>
      </c>
      <c r="B115" s="34" t="s">
        <v>984</v>
      </c>
      <c r="C115" s="18" t="s">
        <v>528</v>
      </c>
      <c r="D115" s="32" t="s">
        <v>2871</v>
      </c>
      <c r="E115" s="5">
        <f>IF('зведена (БАЛАНС) (2)'!E115&gt;'зведена (БАЛАНС) (2)'!F115,'зведена (БАЛАНС) (2)'!E115-'зведена (БАЛАНС) (2)'!F115,0)</f>
        <v>0</v>
      </c>
      <c r="F115" s="5">
        <f>IF('зведена (БАЛАНС) (2)'!F115&gt;'зведена (БАЛАНС) (2)'!E115,'зведена (БАЛАНС) (2)'!F115-'зведена (БАЛАНС) (2)'!E115,0)</f>
        <v>7115.5</v>
      </c>
    </row>
    <row r="116" spans="1:6" s="29" customFormat="1" x14ac:dyDescent="0.25">
      <c r="A116" s="33" t="s">
        <v>752</v>
      </c>
      <c r="B116" s="34" t="s">
        <v>985</v>
      </c>
      <c r="C116" s="18" t="s">
        <v>529</v>
      </c>
      <c r="D116" s="32" t="s">
        <v>1185</v>
      </c>
      <c r="E116" s="5">
        <f>IF('зведена (БАЛАНС) (2)'!E116&gt;'зведена (БАЛАНС) (2)'!F116,'зведена (БАЛАНС) (2)'!E116-'зведена (БАЛАНС) (2)'!F116,0)</f>
        <v>0</v>
      </c>
      <c r="F116" s="5">
        <f>IF('зведена (БАЛАНС) (2)'!F116&gt;'зведена (БАЛАНС) (2)'!E116,'зведена (БАЛАНС) (2)'!F116-'зведена (БАЛАНС) (2)'!E116,0)</f>
        <v>6959.7</v>
      </c>
    </row>
    <row r="117" spans="1:6" x14ac:dyDescent="0.25">
      <c r="A117" s="33" t="s">
        <v>752</v>
      </c>
      <c r="B117" s="34" t="s">
        <v>985</v>
      </c>
      <c r="C117" s="18" t="s">
        <v>530</v>
      </c>
      <c r="D117" s="32" t="s">
        <v>2872</v>
      </c>
      <c r="E117" s="5">
        <f>IF('зведена (БАЛАНС) (2)'!E117&gt;'зведена (БАЛАНС) (2)'!F117,'зведена (БАЛАНС) (2)'!E117-'зведена (БАЛАНС) (2)'!F117,0)</f>
        <v>0</v>
      </c>
      <c r="F117" s="5">
        <f>IF('зведена (БАЛАНС) (2)'!F117&gt;'зведена (БАЛАНС) (2)'!E117,'зведена (БАЛАНС) (2)'!F117-'зведена (БАЛАНС) (2)'!E117,0)</f>
        <v>16821.599999999999</v>
      </c>
    </row>
    <row r="118" spans="1:6" x14ac:dyDescent="0.25">
      <c r="A118" s="33" t="s">
        <v>752</v>
      </c>
      <c r="B118" s="34" t="s">
        <v>984</v>
      </c>
      <c r="C118" s="18" t="s">
        <v>531</v>
      </c>
      <c r="D118" s="32" t="s">
        <v>1187</v>
      </c>
      <c r="E118" s="5">
        <f>IF('зведена (БАЛАНС) (2)'!E118&gt;'зведена (БАЛАНС) (2)'!F118,'зведена (БАЛАНС) (2)'!E118-'зведена (БАЛАНС) (2)'!F118,0)</f>
        <v>0</v>
      </c>
      <c r="F118" s="5">
        <f>IF('зведена (БАЛАНС) (2)'!F118&gt;'зведена (БАЛАНС) (2)'!E118,'зведена (БАЛАНС) (2)'!F118-'зведена (БАЛАНС) (2)'!E118,0)</f>
        <v>4665.6000000000004</v>
      </c>
    </row>
    <row r="119" spans="1:6" x14ac:dyDescent="0.25">
      <c r="A119" s="33" t="s">
        <v>752</v>
      </c>
      <c r="B119" s="34" t="s">
        <v>984</v>
      </c>
      <c r="C119" s="18" t="s">
        <v>532</v>
      </c>
      <c r="D119" s="32" t="s">
        <v>1188</v>
      </c>
      <c r="E119" s="5">
        <f>IF('зведена (БАЛАНС) (2)'!E119&gt;'зведена (БАЛАНС) (2)'!F119,'зведена (БАЛАНС) (2)'!E119-'зведена (БАЛАНС) (2)'!F119,0)</f>
        <v>0</v>
      </c>
      <c r="F119" s="5">
        <f>IF('зведена (БАЛАНС) (2)'!F119&gt;'зведена (БАЛАНС) (2)'!E119,'зведена (БАЛАНС) (2)'!F119-'зведена (БАЛАНС) (2)'!E119,0)</f>
        <v>4985.6000000000004</v>
      </c>
    </row>
    <row r="120" spans="1:6" x14ac:dyDescent="0.25">
      <c r="A120" s="33" t="s">
        <v>752</v>
      </c>
      <c r="B120" s="34" t="s">
        <v>984</v>
      </c>
      <c r="C120" s="18" t="s">
        <v>676</v>
      </c>
      <c r="D120" s="32" t="s">
        <v>1189</v>
      </c>
      <c r="E120" s="5">
        <f>IF('зведена (БАЛАНС) (2)'!E120&gt;'зведена (БАЛАНС) (2)'!F120,'зведена (БАЛАНС) (2)'!E120-'зведена (БАЛАНС) (2)'!F120,0)</f>
        <v>0</v>
      </c>
      <c r="F120" s="5">
        <f>IF('зведена (БАЛАНС) (2)'!F120&gt;'зведена (БАЛАНС) (2)'!E120,'зведена (БАЛАНС) (2)'!F120-'зведена (БАЛАНС) (2)'!E120,0)</f>
        <v>9863.7999999999993</v>
      </c>
    </row>
    <row r="121" spans="1:6" x14ac:dyDescent="0.25">
      <c r="A121" s="33" t="s">
        <v>752</v>
      </c>
      <c r="B121" s="34" t="s">
        <v>985</v>
      </c>
      <c r="C121" s="30" t="s">
        <v>738</v>
      </c>
      <c r="D121" s="32" t="s">
        <v>1190</v>
      </c>
      <c r="E121" s="5">
        <f>IF('зведена (БАЛАНС) (2)'!E121&gt;'зведена (БАЛАНС) (2)'!F121,'зведена (БАЛАНС) (2)'!E121-'зведена (БАЛАНС) (2)'!F121,0)</f>
        <v>0</v>
      </c>
      <c r="F121" s="5">
        <f>IF('зведена (БАЛАНС) (2)'!F121&gt;'зведена (БАЛАНС) (2)'!E121,'зведена (БАЛАНС) (2)'!F121-'зведена (БАЛАНС) (2)'!E121,0)</f>
        <v>7304.3</v>
      </c>
    </row>
    <row r="122" spans="1:6" x14ac:dyDescent="0.25">
      <c r="A122" s="33" t="s">
        <v>752</v>
      </c>
      <c r="B122" s="34" t="s">
        <v>983</v>
      </c>
      <c r="C122" s="30" t="s">
        <v>865</v>
      </c>
      <c r="D122" s="32" t="s">
        <v>1191</v>
      </c>
      <c r="E122" s="5">
        <f>IF('зведена (БАЛАНС) (2)'!E122&gt;'зведена (БАЛАНС) (2)'!F122,'зведена (БАЛАНС) (2)'!E122-'зведена (БАЛАНС) (2)'!F122,0)</f>
        <v>0</v>
      </c>
      <c r="F122" s="5">
        <f>IF('зведена (БАЛАНС) (2)'!F122&gt;'зведена (БАЛАНС) (2)'!E122,'зведена (БАЛАНС) (2)'!F122-'зведена (БАЛАНС) (2)'!E122,0)</f>
        <v>15129.4</v>
      </c>
    </row>
    <row r="123" spans="1:6" x14ac:dyDescent="0.25">
      <c r="A123" s="33" t="s">
        <v>752</v>
      </c>
      <c r="B123" s="34" t="s">
        <v>984</v>
      </c>
      <c r="C123" s="30" t="s">
        <v>2736</v>
      </c>
      <c r="D123" s="32" t="s">
        <v>2873</v>
      </c>
      <c r="E123" s="5">
        <f>IF('зведена (БАЛАНС) (2)'!E123&gt;'зведена (БАЛАНС) (2)'!F123,'зведена (БАЛАНС) (2)'!E123-'зведена (БАЛАНС) (2)'!F123,0)</f>
        <v>18815.599999999999</v>
      </c>
      <c r="F123" s="5">
        <f>IF('зведена (БАЛАНС) (2)'!F123&gt;'зведена (БАЛАНС) (2)'!E123,'зведена (БАЛАНС) (2)'!F123-'зведена (БАЛАНС) (2)'!E123,0)</f>
        <v>0</v>
      </c>
    </row>
    <row r="124" spans="1:6" x14ac:dyDescent="0.25">
      <c r="A124" s="33" t="s">
        <v>752</v>
      </c>
      <c r="B124" s="34" t="s">
        <v>985</v>
      </c>
      <c r="C124" s="30" t="s">
        <v>866</v>
      </c>
      <c r="D124" s="32" t="s">
        <v>1192</v>
      </c>
      <c r="E124" s="5">
        <f>IF('зведена (БАЛАНС) (2)'!E124&gt;'зведена (БАЛАНС) (2)'!F124,'зведена (БАЛАНС) (2)'!E124-'зведена (БАЛАНС) (2)'!F124,0)</f>
        <v>0</v>
      </c>
      <c r="F124" s="5">
        <f>IF('зведена (БАЛАНС) (2)'!F124&gt;'зведена (БАЛАНС) (2)'!E124,'зведена (БАЛАНС) (2)'!F124-'зведена (БАЛАНС) (2)'!E124,0)</f>
        <v>13982.5</v>
      </c>
    </row>
    <row r="125" spans="1:6" x14ac:dyDescent="0.25">
      <c r="A125" s="33" t="s">
        <v>752</v>
      </c>
      <c r="B125" s="34" t="s">
        <v>986</v>
      </c>
      <c r="C125" s="30" t="s">
        <v>1021</v>
      </c>
      <c r="D125" s="32" t="s">
        <v>2874</v>
      </c>
      <c r="E125" s="5">
        <f>IF('зведена (БАЛАНС) (2)'!E125&gt;'зведена (БАЛАНС) (2)'!F125,'зведена (БАЛАНС) (2)'!E125-'зведена (БАЛАНС) (2)'!F125,0)</f>
        <v>111490.9</v>
      </c>
      <c r="F125" s="5">
        <f>IF('зведена (БАЛАНС) (2)'!F125&gt;'зведена (БАЛАНС) (2)'!E125,'зведена (БАЛАНС) (2)'!F125-'зведена (БАЛАНС) (2)'!E125,0)</f>
        <v>0</v>
      </c>
    </row>
    <row r="126" spans="1:6" x14ac:dyDescent="0.25">
      <c r="A126" s="33" t="s">
        <v>752</v>
      </c>
      <c r="B126" s="34" t="s">
        <v>985</v>
      </c>
      <c r="C126" s="30" t="s">
        <v>1027</v>
      </c>
      <c r="D126" s="32" t="s">
        <v>2875</v>
      </c>
      <c r="E126" s="5">
        <f>IF('зведена (БАЛАНС) (2)'!E126&gt;'зведена (БАЛАНС) (2)'!F126,'зведена (БАЛАНС) (2)'!E126-'зведена (БАЛАНС) (2)'!F126,0)</f>
        <v>0</v>
      </c>
      <c r="F126" s="5">
        <f>IF('зведена (БАЛАНС) (2)'!F126&gt;'зведена (БАЛАНС) (2)'!E126,'зведена (БАЛАНС) (2)'!F126-'зведена (БАЛАНС) (2)'!E126,0)</f>
        <v>17602.8</v>
      </c>
    </row>
    <row r="127" spans="1:6" x14ac:dyDescent="0.25">
      <c r="A127" s="33" t="s">
        <v>752</v>
      </c>
      <c r="B127" s="34" t="s">
        <v>984</v>
      </c>
      <c r="C127" s="30" t="s">
        <v>1028</v>
      </c>
      <c r="D127" s="32" t="s">
        <v>2876</v>
      </c>
      <c r="E127" s="5">
        <f>IF('зведена (БАЛАНС) (2)'!E127&gt;'зведена (БАЛАНС) (2)'!F127,'зведена (БАЛАНС) (2)'!E127-'зведена (БАЛАНС) (2)'!F127,0)</f>
        <v>0</v>
      </c>
      <c r="F127" s="5">
        <f>IF('зведена (БАЛАНС) (2)'!F127&gt;'зведена (БАЛАНС) (2)'!E127,'зведена (БАЛАНС) (2)'!F127-'зведена (БАЛАНС) (2)'!E127,0)</f>
        <v>10258.6</v>
      </c>
    </row>
    <row r="128" spans="1:6" x14ac:dyDescent="0.25">
      <c r="A128" s="33" t="s">
        <v>752</v>
      </c>
      <c r="B128" s="34" t="s">
        <v>984</v>
      </c>
      <c r="C128" s="30" t="s">
        <v>1055</v>
      </c>
      <c r="D128" s="32" t="s">
        <v>2877</v>
      </c>
      <c r="E128" s="5">
        <f>IF('зведена (БАЛАНС) (2)'!E128&gt;'зведена (БАЛАНС) (2)'!F128,'зведена (БАЛАНС) (2)'!E128-'зведена (БАЛАНС) (2)'!F128,0)</f>
        <v>0</v>
      </c>
      <c r="F128" s="5">
        <f>IF('зведена (БАЛАНС) (2)'!F128&gt;'зведена (БАЛАНС) (2)'!E128,'зведена (БАЛАНС) (2)'!F128-'зведена (БАЛАНС) (2)'!E128,0)</f>
        <v>18950.5</v>
      </c>
    </row>
    <row r="129" spans="1:6" x14ac:dyDescent="0.25">
      <c r="A129" s="33" t="s">
        <v>752</v>
      </c>
      <c r="B129" s="34" t="s">
        <v>983</v>
      </c>
      <c r="C129" s="30" t="s">
        <v>1197</v>
      </c>
      <c r="D129" s="32" t="s">
        <v>1198</v>
      </c>
      <c r="E129" s="5">
        <f>IF('зведена (БАЛАНС) (2)'!E129&gt;'зведена (БАЛАНС) (2)'!F129,'зведена (БАЛАНС) (2)'!E129-'зведена (БАЛАНС) (2)'!F129,0)</f>
        <v>0</v>
      </c>
      <c r="F129" s="5">
        <f>IF('зведена (БАЛАНС) (2)'!F129&gt;'зведена (БАЛАНС) (2)'!E129,'зведена (БАЛАНС) (2)'!F129-'зведена (БАЛАНС) (2)'!E129,0)</f>
        <v>11649.6</v>
      </c>
    </row>
    <row r="130" spans="1:6" x14ac:dyDescent="0.25">
      <c r="A130" s="33" t="s">
        <v>752</v>
      </c>
      <c r="B130" s="34" t="s">
        <v>986</v>
      </c>
      <c r="C130" s="30" t="s">
        <v>1199</v>
      </c>
      <c r="D130" s="32" t="s">
        <v>1200</v>
      </c>
      <c r="E130" s="5">
        <f>IF('зведена (БАЛАНС) (2)'!E130&gt;'зведена (БАЛАНС) (2)'!F130,'зведена (БАЛАНС) (2)'!E130-'зведена (БАЛАНС) (2)'!F130,0)</f>
        <v>18809.400000000001</v>
      </c>
      <c r="F130" s="5">
        <f>IF('зведена (БАЛАНС) (2)'!F130&gt;'зведена (БАЛАНС) (2)'!E130,'зведена (БАЛАНС) (2)'!F130-'зведена (БАЛАНС) (2)'!E130,0)</f>
        <v>0</v>
      </c>
    </row>
    <row r="131" spans="1:6" x14ac:dyDescent="0.25">
      <c r="A131" s="33" t="s">
        <v>752</v>
      </c>
      <c r="B131" s="34" t="s">
        <v>983</v>
      </c>
      <c r="C131" s="30" t="s">
        <v>1201</v>
      </c>
      <c r="D131" s="32" t="s">
        <v>1202</v>
      </c>
      <c r="E131" s="5">
        <f>IF('зведена (БАЛАНС) (2)'!E131&gt;'зведена (БАЛАНС) (2)'!F131,'зведена (БАЛАНС) (2)'!E131-'зведена (БАЛАНС) (2)'!F131,0)</f>
        <v>0</v>
      </c>
      <c r="F131" s="5">
        <f>IF('зведена (БАЛАНС) (2)'!F131&gt;'зведена (БАЛАНС) (2)'!E131,'зведена (БАЛАНС) (2)'!F131-'зведена (БАЛАНС) (2)'!E131,0)</f>
        <v>14553</v>
      </c>
    </row>
    <row r="132" spans="1:6" x14ac:dyDescent="0.25">
      <c r="A132" s="33" t="s">
        <v>752</v>
      </c>
      <c r="B132" s="34" t="s">
        <v>983</v>
      </c>
      <c r="C132" s="30" t="s">
        <v>1203</v>
      </c>
      <c r="D132" s="32" t="s">
        <v>1204</v>
      </c>
      <c r="E132" s="5">
        <f>IF('зведена (БАЛАНС) (2)'!E132&gt;'зведена (БАЛАНС) (2)'!F132,'зведена (БАЛАНС) (2)'!E132-'зведена (БАЛАНС) (2)'!F132,0)</f>
        <v>0</v>
      </c>
      <c r="F132" s="5">
        <f>IF('зведена (БАЛАНС) (2)'!F132&gt;'зведена (БАЛАНС) (2)'!E132,'зведена (БАЛАНС) (2)'!F132-'зведена (БАЛАНС) (2)'!E132,0)</f>
        <v>91733.3</v>
      </c>
    </row>
    <row r="133" spans="1:6" x14ac:dyDescent="0.25">
      <c r="A133" s="33" t="s">
        <v>752</v>
      </c>
      <c r="B133" s="34" t="s">
        <v>986</v>
      </c>
      <c r="C133" s="30" t="s">
        <v>1205</v>
      </c>
      <c r="D133" s="32" t="s">
        <v>2878</v>
      </c>
      <c r="E133" s="5">
        <f>IF('зведена (БАЛАНС) (2)'!E133&gt;'зведена (БАЛАНС) (2)'!F133,'зведена (БАЛАНС) (2)'!E133-'зведена (БАЛАНС) (2)'!F133,0)</f>
        <v>0</v>
      </c>
      <c r="F133" s="5">
        <f>IF('зведена (БАЛАНС) (2)'!F133&gt;'зведена (БАЛАНС) (2)'!E133,'зведена (БАЛАНС) (2)'!F133-'зведена (БАЛАНС) (2)'!E133,0)</f>
        <v>17090.099999999999</v>
      </c>
    </row>
    <row r="134" spans="1:6" x14ac:dyDescent="0.25">
      <c r="A134" s="33" t="s">
        <v>752</v>
      </c>
      <c r="B134" s="34" t="s">
        <v>985</v>
      </c>
      <c r="C134" s="30" t="s">
        <v>1207</v>
      </c>
      <c r="D134" s="32" t="s">
        <v>1208</v>
      </c>
      <c r="E134" s="5">
        <f>IF('зведена (БАЛАНС) (2)'!E134&gt;'зведена (БАЛАНС) (2)'!F134,'зведена (БАЛАНС) (2)'!E134-'зведена (БАЛАНС) (2)'!F134,0)</f>
        <v>0</v>
      </c>
      <c r="F134" s="5">
        <f>IF('зведена (БАЛАНС) (2)'!F134&gt;'зведена (БАЛАНС) (2)'!E134,'зведена (БАЛАНС) (2)'!F134-'зведена (БАЛАНС) (2)'!E134,0)</f>
        <v>12969.7</v>
      </c>
    </row>
    <row r="135" spans="1:6" x14ac:dyDescent="0.25">
      <c r="A135" s="33" t="s">
        <v>752</v>
      </c>
      <c r="B135" s="34" t="s">
        <v>985</v>
      </c>
      <c r="C135" s="30" t="s">
        <v>1209</v>
      </c>
      <c r="D135" s="32" t="s">
        <v>2879</v>
      </c>
      <c r="E135" s="5">
        <f>IF('зведена (БАЛАНС) (2)'!E135&gt;'зведена (БАЛАНС) (2)'!F135,'зведена (БАЛАНС) (2)'!E135-'зведена (БАЛАНС) (2)'!F135,0)</f>
        <v>0</v>
      </c>
      <c r="F135" s="5">
        <f>IF('зведена (БАЛАНС) (2)'!F135&gt;'зведена (БАЛАНС) (2)'!E135,'зведена (БАЛАНС) (2)'!F135-'зведена (БАЛАНС) (2)'!E135,0)</f>
        <v>25563.4</v>
      </c>
    </row>
    <row r="136" spans="1:6" x14ac:dyDescent="0.25">
      <c r="A136" s="33" t="s">
        <v>752</v>
      </c>
      <c r="B136" s="34" t="s">
        <v>986</v>
      </c>
      <c r="C136" s="30" t="s">
        <v>1211</v>
      </c>
      <c r="D136" s="32" t="s">
        <v>1212</v>
      </c>
      <c r="E136" s="5">
        <f>IF('зведена (БАЛАНС) (2)'!E136&gt;'зведена (БАЛАНС) (2)'!F136,'зведена (БАЛАНС) (2)'!E136-'зведена (БАЛАНС) (2)'!F136,0)</f>
        <v>0</v>
      </c>
      <c r="F136" s="5">
        <f>IF('зведена (БАЛАНС) (2)'!F136&gt;'зведена (БАЛАНС) (2)'!E136,'зведена (БАЛАНС) (2)'!F136-'зведена (БАЛАНС) (2)'!E136,0)</f>
        <v>44527.6</v>
      </c>
    </row>
    <row r="137" spans="1:6" x14ac:dyDescent="0.25">
      <c r="A137" s="33" t="s">
        <v>752</v>
      </c>
      <c r="B137" s="34" t="s">
        <v>985</v>
      </c>
      <c r="C137" s="30" t="s">
        <v>1213</v>
      </c>
      <c r="D137" s="32" t="s">
        <v>1214</v>
      </c>
      <c r="E137" s="5">
        <f>IF('зведена (БАЛАНС) (2)'!E137&gt;'зведена (БАЛАНС) (2)'!F137,'зведена (БАЛАНС) (2)'!E137-'зведена (БАЛАНС) (2)'!F137,0)</f>
        <v>0</v>
      </c>
      <c r="F137" s="5">
        <f>IF('зведена (БАЛАНС) (2)'!F137&gt;'зведена (БАЛАНС) (2)'!E137,'зведена (БАЛАНС) (2)'!F137-'зведена (БАЛАНС) (2)'!E137,0)</f>
        <v>15854.1</v>
      </c>
    </row>
    <row r="138" spans="1:6" x14ac:dyDescent="0.25">
      <c r="A138" s="33" t="s">
        <v>752</v>
      </c>
      <c r="B138" s="34" t="s">
        <v>985</v>
      </c>
      <c r="C138" s="30" t="s">
        <v>1215</v>
      </c>
      <c r="D138" s="32" t="s">
        <v>2880</v>
      </c>
      <c r="E138" s="5">
        <f>IF('зведена (БАЛАНС) (2)'!E138&gt;'зведена (БАЛАНС) (2)'!F138,'зведена (БАЛАНС) (2)'!E138-'зведена (БАЛАНС) (2)'!F138,0)</f>
        <v>0</v>
      </c>
      <c r="F138" s="5">
        <f>IF('зведена (БАЛАНС) (2)'!F138&gt;'зведена (БАЛАНС) (2)'!E138,'зведена (БАЛАНС) (2)'!F138-'зведена (БАЛАНС) (2)'!E138,0)</f>
        <v>26172.6</v>
      </c>
    </row>
    <row r="139" spans="1:6" x14ac:dyDescent="0.25">
      <c r="A139" s="33" t="s">
        <v>752</v>
      </c>
      <c r="B139" s="34" t="s">
        <v>983</v>
      </c>
      <c r="C139" s="30" t="s">
        <v>2732</v>
      </c>
      <c r="D139" s="32" t="s">
        <v>2881</v>
      </c>
      <c r="E139" s="5">
        <f>IF('зведена (БАЛАНС) (2)'!E139&gt;'зведена (БАЛАНС) (2)'!F139,'зведена (БАЛАНС) (2)'!E139-'зведена (БАЛАНС) (2)'!F139,0)</f>
        <v>0</v>
      </c>
      <c r="F139" s="5">
        <f>IF('зведена (БАЛАНС) (2)'!F139&gt;'зведена (БАЛАНС) (2)'!E139,'зведена (БАЛАНС) (2)'!F139-'зведена (БАЛАНС) (2)'!E139,0)</f>
        <v>26014.9</v>
      </c>
    </row>
    <row r="140" spans="1:6" x14ac:dyDescent="0.25">
      <c r="A140" s="17" t="s">
        <v>756</v>
      </c>
      <c r="B140" s="17" t="s">
        <v>7</v>
      </c>
      <c r="C140" s="17" t="s">
        <v>757</v>
      </c>
      <c r="D140" s="11" t="s">
        <v>10</v>
      </c>
      <c r="E140" s="11">
        <f>E141+E142+E150</f>
        <v>2813331.9000000004</v>
      </c>
      <c r="F140" s="11">
        <f>F141+F142+F150</f>
        <v>442125.80000000005</v>
      </c>
    </row>
    <row r="141" spans="1:6" x14ac:dyDescent="0.25">
      <c r="A141" s="33" t="s">
        <v>756</v>
      </c>
      <c r="B141" s="34" t="s">
        <v>6</v>
      </c>
      <c r="C141" s="18" t="s">
        <v>43</v>
      </c>
      <c r="D141" s="32" t="s">
        <v>839</v>
      </c>
      <c r="E141" s="5">
        <f>IF('зведена (БАЛАНС) (2)'!E141&gt;'зведена (БАЛАНС) (2)'!F141,'зведена (БАЛАНС) (2)'!E141-'зведена (БАЛАНС) (2)'!F141,0)</f>
        <v>773827.9</v>
      </c>
      <c r="F141" s="5">
        <f>IF('зведена (БАЛАНС) (2)'!F141&gt;'зведена (БАЛАНС) (2)'!E141,'зведена (БАЛАНС) (2)'!F141-'зведена (БАЛАНС) (2)'!E141,0)</f>
        <v>0</v>
      </c>
    </row>
    <row r="142" spans="1:6" x14ac:dyDescent="0.25">
      <c r="A142" s="19" t="s">
        <v>756</v>
      </c>
      <c r="B142" s="19" t="s">
        <v>5</v>
      </c>
      <c r="C142" s="19" t="s">
        <v>758</v>
      </c>
      <c r="D142" s="7" t="s">
        <v>2795</v>
      </c>
      <c r="E142" s="7">
        <f>SUM(E143:E149)</f>
        <v>0</v>
      </c>
      <c r="F142" s="7">
        <f>SUM(F143:F149)</f>
        <v>0</v>
      </c>
    </row>
    <row r="143" spans="1:6" x14ac:dyDescent="0.25">
      <c r="A143" s="33" t="s">
        <v>756</v>
      </c>
      <c r="B143" s="34" t="s">
        <v>4</v>
      </c>
      <c r="C143" s="18" t="s">
        <v>44</v>
      </c>
      <c r="D143" s="32" t="s">
        <v>891</v>
      </c>
      <c r="E143" s="5">
        <f>IF('зведена (БАЛАНС) (2)'!E143&gt;'зведена (БАЛАНС) (2)'!F143,'зведена (БАЛАНС) (2)'!E143-'зведена (БАЛАНС) (2)'!F143,0)</f>
        <v>0</v>
      </c>
      <c r="F143" s="5">
        <f>IF('зведена (БАЛАНС) (2)'!F143&gt;'зведена (БАЛАНС) (2)'!E143,'зведена (БАЛАНС) (2)'!F143-'зведена (БАЛАНС) (2)'!E143,0)</f>
        <v>0</v>
      </c>
    </row>
    <row r="144" spans="1:6" x14ac:dyDescent="0.25">
      <c r="A144" s="33" t="s">
        <v>756</v>
      </c>
      <c r="B144" s="34" t="s">
        <v>4</v>
      </c>
      <c r="C144" s="18" t="s">
        <v>45</v>
      </c>
      <c r="D144" s="32" t="s">
        <v>892</v>
      </c>
      <c r="E144" s="5">
        <f>IF('зведена (БАЛАНС) (2)'!E144&gt;'зведена (БАЛАНС) (2)'!F144,'зведена (БАЛАНС) (2)'!E144-'зведена (БАЛАНС) (2)'!F144,0)</f>
        <v>0</v>
      </c>
      <c r="F144" s="5">
        <f>IF('зведена (БАЛАНС) (2)'!F144&gt;'зведена (БАЛАНС) (2)'!E144,'зведена (БАЛАНС) (2)'!F144-'зведена (БАЛАНС) (2)'!E144,0)</f>
        <v>0</v>
      </c>
    </row>
    <row r="145" spans="1:6" x14ac:dyDescent="0.25">
      <c r="A145" s="33" t="s">
        <v>756</v>
      </c>
      <c r="B145" s="34" t="s">
        <v>4</v>
      </c>
      <c r="C145" s="18" t="s">
        <v>46</v>
      </c>
      <c r="D145" s="32" t="s">
        <v>893</v>
      </c>
      <c r="E145" s="5">
        <f>IF('зведена (БАЛАНС) (2)'!E145&gt;'зведена (БАЛАНС) (2)'!F145,'зведена (БАЛАНС) (2)'!E145-'зведена (БАЛАНС) (2)'!F145,0)</f>
        <v>0</v>
      </c>
      <c r="F145" s="5">
        <f>IF('зведена (БАЛАНС) (2)'!F145&gt;'зведена (БАЛАНС) (2)'!E145,'зведена (БАЛАНС) (2)'!F145-'зведена (БАЛАНС) (2)'!E145,0)</f>
        <v>0</v>
      </c>
    </row>
    <row r="146" spans="1:6" x14ac:dyDescent="0.25">
      <c r="A146" s="33" t="s">
        <v>756</v>
      </c>
      <c r="B146" s="34" t="s">
        <v>4</v>
      </c>
      <c r="C146" s="18" t="s">
        <v>47</v>
      </c>
      <c r="D146" s="32" t="s">
        <v>894</v>
      </c>
      <c r="E146" s="5">
        <f>IF('зведена (БАЛАНС) (2)'!E146&gt;'зведена (БАЛАНС) (2)'!F146,'зведена (БАЛАНС) (2)'!E146-'зведена (БАЛАНС) (2)'!F146,0)</f>
        <v>0</v>
      </c>
      <c r="F146" s="5">
        <f>IF('зведена (БАЛАНС) (2)'!F146&gt;'зведена (БАЛАНС) (2)'!E146,'зведена (БАЛАНС) (2)'!F146-'зведена (БАЛАНС) (2)'!E146,0)</f>
        <v>0</v>
      </c>
    </row>
    <row r="147" spans="1:6" x14ac:dyDescent="0.25">
      <c r="A147" s="33" t="s">
        <v>756</v>
      </c>
      <c r="B147" s="34" t="s">
        <v>4</v>
      </c>
      <c r="C147" s="18" t="s">
        <v>1056</v>
      </c>
      <c r="D147" s="32" t="s">
        <v>1057</v>
      </c>
      <c r="E147" s="5">
        <f>IF('зведена (БАЛАНС) (2)'!E147&gt;'зведена (БАЛАНС) (2)'!F147,'зведена (БАЛАНС) (2)'!E147-'зведена (БАЛАНС) (2)'!F147,0)</f>
        <v>0</v>
      </c>
      <c r="F147" s="5">
        <f>IF('зведена (БАЛАНС) (2)'!F147&gt;'зведена (БАЛАНС) (2)'!E147,'зведена (БАЛАНС) (2)'!F147-'зведена (БАЛАНС) (2)'!E147,0)</f>
        <v>0</v>
      </c>
    </row>
    <row r="148" spans="1:6" x14ac:dyDescent="0.25">
      <c r="A148" s="33" t="s">
        <v>756</v>
      </c>
      <c r="B148" s="34" t="s">
        <v>4</v>
      </c>
      <c r="C148" s="18" t="s">
        <v>2737</v>
      </c>
      <c r="D148" s="32" t="s">
        <v>2738</v>
      </c>
      <c r="E148" s="5">
        <f>IF('зведена (БАЛАНС) (2)'!E148&gt;'зведена (БАЛАНС) (2)'!F148,'зведена (БАЛАНС) (2)'!E148-'зведена (БАЛАНС) (2)'!F148,0)</f>
        <v>0</v>
      </c>
      <c r="F148" s="5">
        <f>IF('зведена (БАЛАНС) (2)'!F148&gt;'зведена (БАЛАНС) (2)'!E148,'зведена (БАЛАНС) (2)'!F148-'зведена (БАЛАНС) (2)'!E148,0)</f>
        <v>0</v>
      </c>
    </row>
    <row r="149" spans="1:6" x14ac:dyDescent="0.25">
      <c r="A149" s="33" t="s">
        <v>756</v>
      </c>
      <c r="B149" s="34" t="s">
        <v>4</v>
      </c>
      <c r="C149" s="79" t="s">
        <v>1218</v>
      </c>
      <c r="D149" s="32" t="s">
        <v>1219</v>
      </c>
      <c r="E149" s="5">
        <f>IF('зведена (БАЛАНС) (2)'!E149&gt;'зведена (БАЛАНС) (2)'!F149,'зведена (БАЛАНС) (2)'!E149-'зведена (БАЛАНС) (2)'!F149,0)</f>
        <v>0</v>
      </c>
      <c r="F149" s="5">
        <f>IF('зведена (БАЛАНС) (2)'!F149&gt;'зведена (БАЛАНС) (2)'!E149,'зведена (БАЛАНС) (2)'!F149-'зведена (БАЛАНС) (2)'!E149,0)</f>
        <v>0</v>
      </c>
    </row>
    <row r="150" spans="1:6" ht="31.5" x14ac:dyDescent="0.25">
      <c r="A150" s="19" t="s">
        <v>756</v>
      </c>
      <c r="B150" s="19" t="s">
        <v>28</v>
      </c>
      <c r="C150" s="19" t="s">
        <v>759</v>
      </c>
      <c r="D150" s="20" t="s">
        <v>2770</v>
      </c>
      <c r="E150" s="7">
        <f>SUM(E151:E236)</f>
        <v>2039504.0000000002</v>
      </c>
      <c r="F150" s="7">
        <f>SUM(F151:F236)</f>
        <v>442125.80000000005</v>
      </c>
    </row>
    <row r="151" spans="1:6" x14ac:dyDescent="0.25">
      <c r="A151" s="33" t="s">
        <v>756</v>
      </c>
      <c r="B151" s="34" t="s">
        <v>983</v>
      </c>
      <c r="C151" s="18" t="s">
        <v>48</v>
      </c>
      <c r="D151" s="32" t="s">
        <v>2882</v>
      </c>
      <c r="E151" s="5">
        <f>IF('зведена (БАЛАНС) (2)'!E151&gt;'зведена (БАЛАНС) (2)'!F151,'зведена (БАЛАНС) (2)'!E151-'зведена (БАЛАНС) (2)'!F151,0)</f>
        <v>0</v>
      </c>
      <c r="F151" s="5">
        <f>IF('зведена (БАЛАНС) (2)'!F151&gt;'зведена (БАЛАНС) (2)'!E151,'зведена (БАЛАНС) (2)'!F151-'зведена (БАЛАНС) (2)'!E151,0)</f>
        <v>9226.7000000000007</v>
      </c>
    </row>
    <row r="152" spans="1:6" x14ac:dyDescent="0.25">
      <c r="A152" s="33" t="s">
        <v>756</v>
      </c>
      <c r="B152" s="34" t="s">
        <v>984</v>
      </c>
      <c r="C152" s="18" t="s">
        <v>49</v>
      </c>
      <c r="D152" s="32" t="s">
        <v>2883</v>
      </c>
      <c r="E152" s="5">
        <f>IF('зведена (БАЛАНС) (2)'!E152&gt;'зведена (БАЛАНС) (2)'!F152,'зведена (БАЛАНС) (2)'!E152-'зведена (БАЛАНС) (2)'!F152,0)</f>
        <v>33908.6</v>
      </c>
      <c r="F152" s="5">
        <f>IF('зведена (БАЛАНС) (2)'!F152&gt;'зведена (БАЛАНС) (2)'!E152,'зведена (БАЛАНС) (2)'!F152-'зведена (БАЛАНС) (2)'!E152,0)</f>
        <v>0</v>
      </c>
    </row>
    <row r="153" spans="1:6" x14ac:dyDescent="0.25">
      <c r="A153" s="33" t="s">
        <v>756</v>
      </c>
      <c r="B153" s="34" t="s">
        <v>984</v>
      </c>
      <c r="C153" s="18" t="s">
        <v>50</v>
      </c>
      <c r="D153" s="32" t="s">
        <v>2884</v>
      </c>
      <c r="E153" s="5">
        <f>IF('зведена (БАЛАНС) (2)'!E153&gt;'зведена (БАЛАНС) (2)'!F153,'зведена (БАЛАНС) (2)'!E153-'зведена (БАЛАНС) (2)'!F153,0)</f>
        <v>47177.9</v>
      </c>
      <c r="F153" s="5">
        <f>IF('зведена (БАЛАНС) (2)'!F153&gt;'зведена (БАЛАНС) (2)'!E153,'зведена (БАЛАНС) (2)'!F153-'зведена (БАЛАНС) (2)'!E153,0)</f>
        <v>0</v>
      </c>
    </row>
    <row r="154" spans="1:6" x14ac:dyDescent="0.25">
      <c r="A154" s="33" t="s">
        <v>756</v>
      </c>
      <c r="B154" s="34" t="s">
        <v>984</v>
      </c>
      <c r="C154" s="18" t="s">
        <v>51</v>
      </c>
      <c r="D154" s="32" t="s">
        <v>2885</v>
      </c>
      <c r="E154" s="5">
        <f>IF('зведена (БАЛАНС) (2)'!E154&gt;'зведена (БАЛАНС) (2)'!F154,'зведена (БАЛАНС) (2)'!E154-'зведена (БАЛАНС) (2)'!F154,0)</f>
        <v>0</v>
      </c>
      <c r="F154" s="5">
        <f>IF('зведена (БАЛАНС) (2)'!F154&gt;'зведена (БАЛАНС) (2)'!E154,'зведена (БАЛАНС) (2)'!F154-'зведена (БАЛАНС) (2)'!E154,0)</f>
        <v>4392.5</v>
      </c>
    </row>
    <row r="155" spans="1:6" x14ac:dyDescent="0.25">
      <c r="A155" s="33" t="s">
        <v>756</v>
      </c>
      <c r="B155" s="34" t="s">
        <v>984</v>
      </c>
      <c r="C155" s="18" t="s">
        <v>52</v>
      </c>
      <c r="D155" s="32" t="s">
        <v>2886</v>
      </c>
      <c r="E155" s="5">
        <f>IF('зведена (БАЛАНС) (2)'!E155&gt;'зведена (БАЛАНС) (2)'!F155,'зведена (БАЛАНС) (2)'!E155-'зведена (БАЛАНС) (2)'!F155,0)</f>
        <v>0</v>
      </c>
      <c r="F155" s="5">
        <f>IF('зведена (БАЛАНС) (2)'!F155&gt;'зведена (БАЛАНС) (2)'!E155,'зведена (БАЛАНС) (2)'!F155-'зведена (БАЛАНС) (2)'!E155,0)</f>
        <v>2790</v>
      </c>
    </row>
    <row r="156" spans="1:6" s="28" customFormat="1" x14ac:dyDescent="0.25">
      <c r="A156" s="33" t="s">
        <v>756</v>
      </c>
      <c r="B156" s="34" t="s">
        <v>983</v>
      </c>
      <c r="C156" s="18" t="s">
        <v>53</v>
      </c>
      <c r="D156" s="32" t="s">
        <v>2887</v>
      </c>
      <c r="E156" s="5">
        <f>IF('зведена (БАЛАНС) (2)'!E156&gt;'зведена (БАЛАНС) (2)'!F156,'зведена (БАЛАНС) (2)'!E156-'зведена (БАЛАНС) (2)'!F156,0)</f>
        <v>0</v>
      </c>
      <c r="F156" s="5">
        <f>IF('зведена (БАЛАНС) (2)'!F156&gt;'зведена (БАЛАНС) (2)'!E156,'зведена (БАЛАНС) (2)'!F156-'зведена (БАЛАНС) (2)'!E156,0)</f>
        <v>8108.4</v>
      </c>
    </row>
    <row r="157" spans="1:6" s="28" customFormat="1" x14ac:dyDescent="0.25">
      <c r="A157" s="33" t="s">
        <v>756</v>
      </c>
      <c r="B157" s="34" t="s">
        <v>984</v>
      </c>
      <c r="C157" s="18" t="s">
        <v>54</v>
      </c>
      <c r="D157" s="32" t="s">
        <v>2888</v>
      </c>
      <c r="E157" s="5">
        <f>IF('зведена (БАЛАНС) (2)'!E157&gt;'зведена (БАЛАНС) (2)'!F157,'зведена (БАЛАНС) (2)'!E157-'зведена (БАЛАНС) (2)'!F157,0)</f>
        <v>0</v>
      </c>
      <c r="F157" s="5">
        <f>IF('зведена (БАЛАНС) (2)'!F157&gt;'зведена (БАЛАНС) (2)'!E157,'зведена (БАЛАНС) (2)'!F157-'зведена (БАЛАНС) (2)'!E157,0)</f>
        <v>9740.5</v>
      </c>
    </row>
    <row r="158" spans="1:6" s="28" customFormat="1" x14ac:dyDescent="0.25">
      <c r="A158" s="33" t="s">
        <v>756</v>
      </c>
      <c r="B158" s="34" t="s">
        <v>984</v>
      </c>
      <c r="C158" s="18" t="s">
        <v>55</v>
      </c>
      <c r="D158" s="32" t="s">
        <v>2889</v>
      </c>
      <c r="E158" s="5">
        <f>IF('зведена (БАЛАНС) (2)'!E158&gt;'зведена (БАЛАНС) (2)'!F158,'зведена (БАЛАНС) (2)'!E158-'зведена (БАЛАНС) (2)'!F158,0)</f>
        <v>0</v>
      </c>
      <c r="F158" s="5">
        <f>IF('зведена (БАЛАНС) (2)'!F158&gt;'зведена (БАЛАНС) (2)'!E158,'зведена (БАЛАНС) (2)'!F158-'зведена (БАЛАНС) (2)'!E158,0)</f>
        <v>2619</v>
      </c>
    </row>
    <row r="159" spans="1:6" s="28" customFormat="1" x14ac:dyDescent="0.25">
      <c r="A159" s="33" t="s">
        <v>756</v>
      </c>
      <c r="B159" s="34" t="s">
        <v>984</v>
      </c>
      <c r="C159" s="18" t="s">
        <v>56</v>
      </c>
      <c r="D159" s="32" t="s">
        <v>2890</v>
      </c>
      <c r="E159" s="5">
        <f>IF('зведена (БАЛАНС) (2)'!E159&gt;'зведена (БАЛАНС) (2)'!F159,'зведена (БАЛАНС) (2)'!E159-'зведена (БАЛАНС) (2)'!F159,0)</f>
        <v>0</v>
      </c>
      <c r="F159" s="5">
        <f>IF('зведена (БАЛАНС) (2)'!F159&gt;'зведена (БАЛАНС) (2)'!E159,'зведена (БАЛАНС) (2)'!F159-'зведена (БАЛАНС) (2)'!E159,0)</f>
        <v>1537.3</v>
      </c>
    </row>
    <row r="160" spans="1:6" s="28" customFormat="1" x14ac:dyDescent="0.25">
      <c r="A160" s="33" t="s">
        <v>756</v>
      </c>
      <c r="B160" s="34" t="s">
        <v>984</v>
      </c>
      <c r="C160" s="18" t="s">
        <v>57</v>
      </c>
      <c r="D160" s="32" t="s">
        <v>2891</v>
      </c>
      <c r="E160" s="5">
        <f>IF('зведена (БАЛАНС) (2)'!E160&gt;'зведена (БАЛАНС) (2)'!F160,'зведена (БАЛАНС) (2)'!E160-'зведена (БАЛАНС) (2)'!F160,0)</f>
        <v>0</v>
      </c>
      <c r="F160" s="5">
        <f>IF('зведена (БАЛАНС) (2)'!F160&gt;'зведена (БАЛАНС) (2)'!E160,'зведена (БАЛАНС) (2)'!F160-'зведена (БАЛАНС) (2)'!E160,0)</f>
        <v>8359.9</v>
      </c>
    </row>
    <row r="161" spans="1:6" s="28" customFormat="1" x14ac:dyDescent="0.25">
      <c r="A161" s="33" t="s">
        <v>756</v>
      </c>
      <c r="B161" s="34" t="s">
        <v>984</v>
      </c>
      <c r="C161" s="18" t="s">
        <v>58</v>
      </c>
      <c r="D161" s="32" t="s">
        <v>2503</v>
      </c>
      <c r="E161" s="5">
        <f>IF('зведена (БАЛАНС) (2)'!E161&gt;'зведена (БАЛАНС) (2)'!F161,'зведена (БАЛАНС) (2)'!E161-'зведена (БАЛАНС) (2)'!F161,0)</f>
        <v>0</v>
      </c>
      <c r="F161" s="5">
        <f>IF('зведена (БАЛАНС) (2)'!F161&gt;'зведена (БАЛАНС) (2)'!E161,'зведена (БАЛАНС) (2)'!F161-'зведена (БАЛАНС) (2)'!E161,0)</f>
        <v>0</v>
      </c>
    </row>
    <row r="162" spans="1:6" s="28" customFormat="1" x14ac:dyDescent="0.25">
      <c r="A162" s="33" t="s">
        <v>756</v>
      </c>
      <c r="B162" s="34" t="s">
        <v>985</v>
      </c>
      <c r="C162" s="18" t="s">
        <v>59</v>
      </c>
      <c r="D162" s="32" t="s">
        <v>2457</v>
      </c>
      <c r="E162" s="5">
        <f>IF('зведена (БАЛАНС) (2)'!E162&gt;'зведена (БАЛАНС) (2)'!F162,'зведена (БАЛАНС) (2)'!E162-'зведена (БАЛАНС) (2)'!F162,0)</f>
        <v>0</v>
      </c>
      <c r="F162" s="5">
        <f>IF('зведена (БАЛАНС) (2)'!F162&gt;'зведена (БАЛАНС) (2)'!E162,'зведена (БАЛАНС) (2)'!F162-'зведена (БАЛАНС) (2)'!E162,0)</f>
        <v>7816.2</v>
      </c>
    </row>
    <row r="163" spans="1:6" s="28" customFormat="1" x14ac:dyDescent="0.25">
      <c r="A163" s="33" t="s">
        <v>756</v>
      </c>
      <c r="B163" s="34" t="s">
        <v>985</v>
      </c>
      <c r="C163" s="18" t="s">
        <v>60</v>
      </c>
      <c r="D163" s="32" t="s">
        <v>2892</v>
      </c>
      <c r="E163" s="5">
        <f>IF('зведена (БАЛАНС) (2)'!E163&gt;'зведена (БАЛАНС) (2)'!F163,'зведена (БАЛАНС) (2)'!E163-'зведена (БАЛАНС) (2)'!F163,0)</f>
        <v>0</v>
      </c>
      <c r="F163" s="5">
        <f>IF('зведена (БАЛАНС) (2)'!F163&gt;'зведена (БАЛАНС) (2)'!E163,'зведена (БАЛАНС) (2)'!F163-'зведена (БАЛАНС) (2)'!E163,0)</f>
        <v>6808.3</v>
      </c>
    </row>
    <row r="164" spans="1:6" s="28" customFormat="1" x14ac:dyDescent="0.25">
      <c r="A164" s="33" t="s">
        <v>756</v>
      </c>
      <c r="B164" s="34" t="s">
        <v>984</v>
      </c>
      <c r="C164" s="18" t="s">
        <v>61</v>
      </c>
      <c r="D164" s="32" t="s">
        <v>2893</v>
      </c>
      <c r="E164" s="5">
        <f>IF('зведена (БАЛАНС) (2)'!E164&gt;'зведена (БАЛАНС) (2)'!F164,'зведена (БАЛАНС) (2)'!E164-'зведена (БАЛАНС) (2)'!F164,0)</f>
        <v>0</v>
      </c>
      <c r="F164" s="5">
        <f>IF('зведена (БАЛАНС) (2)'!F164&gt;'зведена (БАЛАНС) (2)'!E164,'зведена (БАЛАНС) (2)'!F164-'зведена (БАЛАНС) (2)'!E164,0)</f>
        <v>7057.3</v>
      </c>
    </row>
    <row r="165" spans="1:6" s="28" customFormat="1" x14ac:dyDescent="0.25">
      <c r="A165" s="33" t="s">
        <v>756</v>
      </c>
      <c r="B165" s="34" t="s">
        <v>985</v>
      </c>
      <c r="C165" s="18" t="s">
        <v>62</v>
      </c>
      <c r="D165" s="32" t="s">
        <v>2461</v>
      </c>
      <c r="E165" s="5">
        <f>IF('зведена (БАЛАНС) (2)'!E165&gt;'зведена (БАЛАНС) (2)'!F165,'зведена (БАЛАНС) (2)'!E165-'зведена (БАЛАНС) (2)'!F165,0)</f>
        <v>86232.3</v>
      </c>
      <c r="F165" s="5">
        <f>IF('зведена (БАЛАНС) (2)'!F165&gt;'зведена (БАЛАНС) (2)'!E165,'зведена (БАЛАНС) (2)'!F165-'зведена (БАЛАНС) (2)'!E165,0)</f>
        <v>0</v>
      </c>
    </row>
    <row r="166" spans="1:6" s="28" customFormat="1" x14ac:dyDescent="0.25">
      <c r="A166" s="33" t="s">
        <v>756</v>
      </c>
      <c r="B166" s="34" t="s">
        <v>984</v>
      </c>
      <c r="C166" s="18" t="s">
        <v>282</v>
      </c>
      <c r="D166" s="32" t="s">
        <v>2894</v>
      </c>
      <c r="E166" s="5">
        <f>IF('зведена (БАЛАНС) (2)'!E166&gt;'зведена (БАЛАНС) (2)'!F166,'зведена (БАЛАНС) (2)'!E166-'зведена (БАЛАНС) (2)'!F166,0)</f>
        <v>0</v>
      </c>
      <c r="F166" s="5">
        <f>IF('зведена (БАЛАНС) (2)'!F166&gt;'зведена (БАЛАНС) (2)'!E166,'зведена (БАЛАНС) (2)'!F166-'зведена (БАЛАНС) (2)'!E166,0)</f>
        <v>3301.9</v>
      </c>
    </row>
    <row r="167" spans="1:6" s="28" customFormat="1" x14ac:dyDescent="0.25">
      <c r="A167" s="33" t="s">
        <v>756</v>
      </c>
      <c r="B167" s="34" t="s">
        <v>985</v>
      </c>
      <c r="C167" s="18" t="s">
        <v>326</v>
      </c>
      <c r="D167" s="32" t="s">
        <v>2895</v>
      </c>
      <c r="E167" s="5">
        <f>IF('зведена (БАЛАНС) (2)'!E167&gt;'зведена (БАЛАНС) (2)'!F167,'зведена (БАЛАНС) (2)'!E167-'зведена (БАЛАНС) (2)'!F167,0)</f>
        <v>0</v>
      </c>
      <c r="F167" s="5">
        <f>IF('зведена (БАЛАНС) (2)'!F167&gt;'зведена (БАЛАНС) (2)'!E167,'зведена (БАЛАНС) (2)'!F167-'зведена (БАЛАНС) (2)'!E167,0)</f>
        <v>4319.5</v>
      </c>
    </row>
    <row r="168" spans="1:6" s="28" customFormat="1" x14ac:dyDescent="0.25">
      <c r="A168" s="33" t="s">
        <v>756</v>
      </c>
      <c r="B168" s="34" t="s">
        <v>985</v>
      </c>
      <c r="C168" s="18" t="s">
        <v>327</v>
      </c>
      <c r="D168" s="32" t="s">
        <v>2896</v>
      </c>
      <c r="E168" s="5">
        <f>IF('зведена (БАЛАНС) (2)'!E168&gt;'зведена (БАЛАНС) (2)'!F168,'зведена (БАЛАНС) (2)'!E168-'зведена (БАЛАНС) (2)'!F168,0)</f>
        <v>0</v>
      </c>
      <c r="F168" s="5">
        <f>IF('зведена (БАЛАНС) (2)'!F168&gt;'зведена (БАЛАНС) (2)'!E168,'зведена (БАЛАНС) (2)'!F168-'зведена (БАЛАНС) (2)'!E168,0)</f>
        <v>21065.3</v>
      </c>
    </row>
    <row r="169" spans="1:6" s="28" customFormat="1" x14ac:dyDescent="0.25">
      <c r="A169" s="33" t="s">
        <v>756</v>
      </c>
      <c r="B169" s="34" t="s">
        <v>985</v>
      </c>
      <c r="C169" s="18" t="s">
        <v>328</v>
      </c>
      <c r="D169" s="32" t="s">
        <v>2897</v>
      </c>
      <c r="E169" s="5">
        <f>IF('зведена (БАЛАНС) (2)'!E169&gt;'зведена (БАЛАНС) (2)'!F169,'зведена (БАЛАНС) (2)'!E169-'зведена (БАЛАНС) (2)'!F169,0)</f>
        <v>0</v>
      </c>
      <c r="F169" s="5">
        <f>IF('зведена (БАЛАНС) (2)'!F169&gt;'зведена (БАЛАНС) (2)'!E169,'зведена (БАЛАНС) (2)'!F169-'зведена (БАЛАНС) (2)'!E169,0)</f>
        <v>4193.7</v>
      </c>
    </row>
    <row r="170" spans="1:6" s="28" customFormat="1" x14ac:dyDescent="0.25">
      <c r="A170" s="33" t="s">
        <v>756</v>
      </c>
      <c r="B170" s="34" t="s">
        <v>985</v>
      </c>
      <c r="C170" s="18" t="s">
        <v>329</v>
      </c>
      <c r="D170" s="32" t="s">
        <v>2898</v>
      </c>
      <c r="E170" s="5">
        <f>IF('зведена (БАЛАНС) (2)'!E170&gt;'зведена (БАЛАНС) (2)'!F170,'зведена (БАЛАНС) (2)'!E170-'зведена (БАЛАНС) (2)'!F170,0)</f>
        <v>0</v>
      </c>
      <c r="F170" s="5">
        <f>IF('зведена (БАЛАНС) (2)'!F170&gt;'зведена (БАЛАНС) (2)'!E170,'зведена (БАЛАНС) (2)'!F170-'зведена (БАЛАНС) (2)'!E170,0)</f>
        <v>6487.9</v>
      </c>
    </row>
    <row r="171" spans="1:6" s="28" customFormat="1" x14ac:dyDescent="0.25">
      <c r="A171" s="33" t="s">
        <v>756</v>
      </c>
      <c r="B171" s="34" t="s">
        <v>985</v>
      </c>
      <c r="C171" s="18" t="s">
        <v>330</v>
      </c>
      <c r="D171" s="32" t="s">
        <v>2899</v>
      </c>
      <c r="E171" s="5">
        <f>IF('зведена (БАЛАНС) (2)'!E171&gt;'зведена (БАЛАНС) (2)'!F171,'зведена (БАЛАНС) (2)'!E171-'зведена (БАЛАНС) (2)'!F171,0)</f>
        <v>0</v>
      </c>
      <c r="F171" s="5">
        <f>IF('зведена (БАЛАНС) (2)'!F171&gt;'зведена (БАЛАНС) (2)'!E171,'зведена (БАЛАНС) (2)'!F171-'зведена (БАЛАНС) (2)'!E171,0)</f>
        <v>4312.1000000000004</v>
      </c>
    </row>
    <row r="172" spans="1:6" s="28" customFormat="1" x14ac:dyDescent="0.25">
      <c r="A172" s="33" t="s">
        <v>756</v>
      </c>
      <c r="B172" s="34" t="s">
        <v>985</v>
      </c>
      <c r="C172" s="18" t="s">
        <v>331</v>
      </c>
      <c r="D172" s="32" t="s">
        <v>2900</v>
      </c>
      <c r="E172" s="5">
        <f>IF('зведена (БАЛАНС) (2)'!E172&gt;'зведена (БАЛАНС) (2)'!F172,'зведена (БАЛАНС) (2)'!E172-'зведена (БАЛАНС) (2)'!F172,0)</f>
        <v>0</v>
      </c>
      <c r="F172" s="5">
        <f>IF('зведена (БАЛАНС) (2)'!F172&gt;'зведена (БАЛАНС) (2)'!E172,'зведена (БАЛАНС) (2)'!F172-'зведена (БАЛАНС) (2)'!E172,0)</f>
        <v>12026.3</v>
      </c>
    </row>
    <row r="173" spans="1:6" s="28" customFormat="1" x14ac:dyDescent="0.25">
      <c r="A173" s="33" t="s">
        <v>756</v>
      </c>
      <c r="B173" s="34" t="s">
        <v>985</v>
      </c>
      <c r="C173" s="18" t="s">
        <v>332</v>
      </c>
      <c r="D173" s="32" t="s">
        <v>2901</v>
      </c>
      <c r="E173" s="5">
        <f>IF('зведена (БАЛАНС) (2)'!E173&gt;'зведена (БАЛАНС) (2)'!F173,'зведена (БАЛАНС) (2)'!E173-'зведена (БАЛАНС) (2)'!F173,0)</f>
        <v>0</v>
      </c>
      <c r="F173" s="5">
        <f>IF('зведена (БАЛАНС) (2)'!F173&gt;'зведена (БАЛАНС) (2)'!E173,'зведена (БАЛАНС) (2)'!F173-'зведена (БАЛАНС) (2)'!E173,0)</f>
        <v>1737.1</v>
      </c>
    </row>
    <row r="174" spans="1:6" s="28" customFormat="1" x14ac:dyDescent="0.25">
      <c r="A174" s="33" t="s">
        <v>756</v>
      </c>
      <c r="B174" s="34" t="s">
        <v>985</v>
      </c>
      <c r="C174" s="18" t="s">
        <v>333</v>
      </c>
      <c r="D174" s="32" t="s">
        <v>2825</v>
      </c>
      <c r="E174" s="5">
        <f>IF('зведена (БАЛАНС) (2)'!E174&gt;'зведена (БАЛАНС) (2)'!F174,'зведена (БАЛАНС) (2)'!E174-'зведена (БАЛАНС) (2)'!F174,0)</f>
        <v>0</v>
      </c>
      <c r="F174" s="5">
        <f>IF('зведена (БАЛАНС) (2)'!F174&gt;'зведена (БАЛАНС) (2)'!E174,'зведена (БАЛАНС) (2)'!F174-'зведена (БАЛАНС) (2)'!E174,0)</f>
        <v>3402.5</v>
      </c>
    </row>
    <row r="175" spans="1:6" s="28" customFormat="1" x14ac:dyDescent="0.25">
      <c r="A175" s="33" t="s">
        <v>756</v>
      </c>
      <c r="B175" s="34" t="s">
        <v>985</v>
      </c>
      <c r="C175" s="18" t="s">
        <v>334</v>
      </c>
      <c r="D175" s="32" t="s">
        <v>2902</v>
      </c>
      <c r="E175" s="5">
        <f>IF('зведена (БАЛАНС) (2)'!E175&gt;'зведена (БАЛАНС) (2)'!F175,'зведена (БАЛАНС) (2)'!E175-'зведена (БАЛАНС) (2)'!F175,0)</f>
        <v>0</v>
      </c>
      <c r="F175" s="5">
        <f>IF('зведена (БАЛАНС) (2)'!F175&gt;'зведена (БАЛАНС) (2)'!E175,'зведена (БАЛАНС) (2)'!F175-'зведена (БАЛАНС) (2)'!E175,0)</f>
        <v>448.9</v>
      </c>
    </row>
    <row r="176" spans="1:6" s="28" customFormat="1" x14ac:dyDescent="0.25">
      <c r="A176" s="33" t="s">
        <v>756</v>
      </c>
      <c r="B176" s="34" t="s">
        <v>985</v>
      </c>
      <c r="C176" s="18" t="s">
        <v>335</v>
      </c>
      <c r="D176" s="32" t="s">
        <v>2903</v>
      </c>
      <c r="E176" s="5">
        <f>IF('зведена (БАЛАНС) (2)'!E176&gt;'зведена (БАЛАНС) (2)'!F176,'зведена (БАЛАНС) (2)'!E176-'зведена (БАЛАНС) (2)'!F176,0)</f>
        <v>0</v>
      </c>
      <c r="F176" s="5">
        <f>IF('зведена (БАЛАНС) (2)'!F176&gt;'зведена (БАЛАНС) (2)'!E176,'зведена (БАЛАНС) (2)'!F176-'зведена (БАЛАНС) (2)'!E176,0)</f>
        <v>7890.2</v>
      </c>
    </row>
    <row r="177" spans="1:6" s="28" customFormat="1" x14ac:dyDescent="0.25">
      <c r="A177" s="33" t="s">
        <v>756</v>
      </c>
      <c r="B177" s="34" t="s">
        <v>984</v>
      </c>
      <c r="C177" s="18" t="s">
        <v>336</v>
      </c>
      <c r="D177" s="32" t="s">
        <v>2904</v>
      </c>
      <c r="E177" s="5">
        <f>IF('зведена (БАЛАНС) (2)'!E177&gt;'зведена (БАЛАНС) (2)'!F177,'зведена (БАЛАНС) (2)'!E177-'зведена (БАЛАНС) (2)'!F177,0)</f>
        <v>0</v>
      </c>
      <c r="F177" s="5">
        <f>IF('зведена (БАЛАНС) (2)'!F177&gt;'зведена (БАЛАНС) (2)'!E177,'зведена (БАЛАНС) (2)'!F177-'зведена (БАЛАНС) (2)'!E177,0)</f>
        <v>3974.1</v>
      </c>
    </row>
    <row r="178" spans="1:6" s="28" customFormat="1" x14ac:dyDescent="0.25">
      <c r="A178" s="33" t="s">
        <v>756</v>
      </c>
      <c r="B178" s="34" t="s">
        <v>984</v>
      </c>
      <c r="C178" s="18" t="s">
        <v>337</v>
      </c>
      <c r="D178" s="32" t="s">
        <v>2905</v>
      </c>
      <c r="E178" s="5">
        <f>IF('зведена (БАЛАНС) (2)'!E178&gt;'зведена (БАЛАНС) (2)'!F178,'зведена (БАЛАНС) (2)'!E178-'зведена (БАЛАНС) (2)'!F178,0)</f>
        <v>0</v>
      </c>
      <c r="F178" s="5">
        <f>IF('зведена (БАЛАНС) (2)'!F178&gt;'зведена (БАЛАНС) (2)'!E178,'зведена (БАЛАНС) (2)'!F178-'зведена (БАЛАНС) (2)'!E178,0)</f>
        <v>4780.7</v>
      </c>
    </row>
    <row r="179" spans="1:6" s="28" customFormat="1" x14ac:dyDescent="0.25">
      <c r="A179" s="33" t="s">
        <v>756</v>
      </c>
      <c r="B179" s="34" t="s">
        <v>984</v>
      </c>
      <c r="C179" s="18" t="s">
        <v>338</v>
      </c>
      <c r="D179" s="32" t="s">
        <v>2906</v>
      </c>
      <c r="E179" s="5">
        <f>IF('зведена (БАЛАНС) (2)'!E179&gt;'зведена (БАЛАНС) (2)'!F179,'зведена (БАЛАНС) (2)'!E179-'зведена (БАЛАНС) (2)'!F179,0)</f>
        <v>0</v>
      </c>
      <c r="F179" s="5">
        <f>IF('зведена (БАЛАНС) (2)'!F179&gt;'зведена (БАЛАНС) (2)'!E179,'зведена (БАЛАНС) (2)'!F179-'зведена (БАЛАНС) (2)'!E179,0)</f>
        <v>15308.5</v>
      </c>
    </row>
    <row r="180" spans="1:6" s="28" customFormat="1" x14ac:dyDescent="0.25">
      <c r="A180" s="33" t="s">
        <v>756</v>
      </c>
      <c r="B180" s="34" t="s">
        <v>984</v>
      </c>
      <c r="C180" s="18" t="s">
        <v>339</v>
      </c>
      <c r="D180" s="32" t="s">
        <v>2907</v>
      </c>
      <c r="E180" s="5">
        <f>IF('зведена (БАЛАНС) (2)'!E180&gt;'зведена (БАЛАНС) (2)'!F180,'зведена (БАЛАНС) (2)'!E180-'зведена (БАЛАНС) (2)'!F180,0)</f>
        <v>0</v>
      </c>
      <c r="F180" s="5">
        <f>IF('зведена (БАЛАНС) (2)'!F180&gt;'зведена (БАЛАНС) (2)'!E180,'зведена (БАЛАНС) (2)'!F180-'зведена (БАЛАНС) (2)'!E180,0)</f>
        <v>1681.7</v>
      </c>
    </row>
    <row r="181" spans="1:6" s="28" customFormat="1" x14ac:dyDescent="0.25">
      <c r="A181" s="33" t="s">
        <v>756</v>
      </c>
      <c r="B181" s="34" t="s">
        <v>984</v>
      </c>
      <c r="C181" s="18" t="s">
        <v>340</v>
      </c>
      <c r="D181" s="32" t="s">
        <v>2908</v>
      </c>
      <c r="E181" s="5">
        <f>IF('зведена (БАЛАНС) (2)'!E181&gt;'зведена (БАЛАНС) (2)'!F181,'зведена (БАЛАНС) (2)'!E181-'зведена (БАЛАНС) (2)'!F181,0)</f>
        <v>0</v>
      </c>
      <c r="F181" s="5">
        <f>IF('зведена (БАЛАНС) (2)'!F181&gt;'зведена (БАЛАНС) (2)'!E181,'зведена (БАЛАНС) (2)'!F181-'зведена (БАЛАНС) (2)'!E181,0)</f>
        <v>2242.5</v>
      </c>
    </row>
    <row r="182" spans="1:6" s="28" customFormat="1" x14ac:dyDescent="0.25">
      <c r="A182" s="33" t="s">
        <v>756</v>
      </c>
      <c r="B182" s="34" t="s">
        <v>984</v>
      </c>
      <c r="C182" s="30" t="s">
        <v>2819</v>
      </c>
      <c r="D182" s="32" t="s">
        <v>1249</v>
      </c>
      <c r="E182" s="5">
        <f>IF('зведена (БАЛАНС) (2)'!E182&gt;'зведена (БАЛАНС) (2)'!F182,'зведена (БАЛАНС) (2)'!E182-'зведена (БАЛАНС) (2)'!F182,0)</f>
        <v>0</v>
      </c>
      <c r="F182" s="5">
        <f>IF('зведена (БАЛАНС) (2)'!F182&gt;'зведена (БАЛАНС) (2)'!E182,'зведена (БАЛАНС) (2)'!F182-'зведена (БАЛАНС) (2)'!E182,0)</f>
        <v>8452.2999999999993</v>
      </c>
    </row>
    <row r="183" spans="1:6" s="28" customFormat="1" x14ac:dyDescent="0.25">
      <c r="A183" s="33" t="s">
        <v>756</v>
      </c>
      <c r="B183" s="34" t="s">
        <v>983</v>
      </c>
      <c r="C183" s="30" t="s">
        <v>533</v>
      </c>
      <c r="D183" s="32" t="s">
        <v>2909</v>
      </c>
      <c r="E183" s="5">
        <f>IF('зведена (БАЛАНС) (2)'!E183&gt;'зведена (БАЛАНС) (2)'!F183,'зведена (БАЛАНС) (2)'!E183-'зведена (БАЛАНС) (2)'!F183,0)</f>
        <v>0</v>
      </c>
      <c r="F183" s="5">
        <f>IF('зведена (БАЛАНС) (2)'!F183&gt;'зведена (БАЛАНС) (2)'!E183,'зведена (БАЛАНС) (2)'!F183-'зведена (БАЛАНС) (2)'!E183,0)</f>
        <v>13825.2</v>
      </c>
    </row>
    <row r="184" spans="1:6" s="28" customFormat="1" x14ac:dyDescent="0.25">
      <c r="A184" s="33" t="s">
        <v>756</v>
      </c>
      <c r="B184" s="34" t="s">
        <v>985</v>
      </c>
      <c r="C184" s="18" t="s">
        <v>534</v>
      </c>
      <c r="D184" s="32" t="s">
        <v>2910</v>
      </c>
      <c r="E184" s="5">
        <f>IF('зведена (БАЛАНС) (2)'!E184&gt;'зведена (БАЛАНС) (2)'!F184,'зведена (БАЛАНС) (2)'!E184-'зведена (БАЛАНС) (2)'!F184,0)</f>
        <v>0</v>
      </c>
      <c r="F184" s="5">
        <f>IF('зведена (БАЛАНС) (2)'!F184&gt;'зведена (БАЛАНС) (2)'!E184,'зведена (БАЛАНС) (2)'!F184-'зведена (БАЛАНС) (2)'!E184,0)</f>
        <v>7415.3</v>
      </c>
    </row>
    <row r="185" spans="1:6" s="28" customFormat="1" x14ac:dyDescent="0.25">
      <c r="A185" s="33" t="s">
        <v>756</v>
      </c>
      <c r="B185" s="34" t="s">
        <v>984</v>
      </c>
      <c r="C185" s="18" t="s">
        <v>535</v>
      </c>
      <c r="D185" s="32" t="s">
        <v>2911</v>
      </c>
      <c r="E185" s="5">
        <f>IF('зведена (БАЛАНС) (2)'!E185&gt;'зведена (БАЛАНС) (2)'!F185,'зведена (БАЛАНС) (2)'!E185-'зведена (БАЛАНС) (2)'!F185,0)</f>
        <v>8194.2000000000007</v>
      </c>
      <c r="F185" s="5">
        <f>IF('зведена (БАЛАНС) (2)'!F185&gt;'зведена (БАЛАНС) (2)'!E185,'зведена (БАЛАНС) (2)'!F185-'зведена (БАЛАНС) (2)'!E185,0)</f>
        <v>0</v>
      </c>
    </row>
    <row r="186" spans="1:6" s="28" customFormat="1" ht="31.5" x14ac:dyDescent="0.25">
      <c r="A186" s="33" t="s">
        <v>756</v>
      </c>
      <c r="B186" s="34" t="s">
        <v>985</v>
      </c>
      <c r="C186" s="18" t="s">
        <v>536</v>
      </c>
      <c r="D186" s="32" t="s">
        <v>2912</v>
      </c>
      <c r="E186" s="5">
        <f>IF('зведена (БАЛАНС) (2)'!E186&gt;'зведена (БАЛАНС) (2)'!F186,'зведена (БАЛАНС) (2)'!E186-'зведена (БАЛАНС) (2)'!F186,0)</f>
        <v>0</v>
      </c>
      <c r="F186" s="5">
        <f>IF('зведена (БАЛАНС) (2)'!F186&gt;'зведена (БАЛАНС) (2)'!E186,'зведена (БАЛАНС) (2)'!F186-'зведена (БАЛАНС) (2)'!E186,0)</f>
        <v>9270.2999999999993</v>
      </c>
    </row>
    <row r="187" spans="1:6" s="28" customFormat="1" x14ac:dyDescent="0.25">
      <c r="A187" s="33" t="s">
        <v>756</v>
      </c>
      <c r="B187" s="34" t="s">
        <v>984</v>
      </c>
      <c r="C187" s="18" t="s">
        <v>1253</v>
      </c>
      <c r="D187" s="32" t="s">
        <v>2913</v>
      </c>
      <c r="E187" s="5">
        <f>IF('зведена (БАЛАНС) (2)'!E187&gt;'зведена (БАЛАНС) (2)'!F187,'зведена (БАЛАНС) (2)'!E187-'зведена (БАЛАНС) (2)'!F187,0)</f>
        <v>0</v>
      </c>
      <c r="F187" s="5">
        <f>IF('зведена (БАЛАНС) (2)'!F187&gt;'зведена (БАЛАНС) (2)'!E187,'зведена (БАЛАНС) (2)'!F187-'зведена (БАЛАНС) (2)'!E187,0)</f>
        <v>6532.7</v>
      </c>
    </row>
    <row r="188" spans="1:6" s="28" customFormat="1" x14ac:dyDescent="0.25">
      <c r="A188" s="33" t="s">
        <v>756</v>
      </c>
      <c r="B188" s="34" t="s">
        <v>984</v>
      </c>
      <c r="C188" s="18" t="s">
        <v>537</v>
      </c>
      <c r="D188" s="32" t="s">
        <v>2914</v>
      </c>
      <c r="E188" s="5">
        <f>IF('зведена (БАЛАНС) (2)'!E188&gt;'зведена (БАЛАНС) (2)'!F188,'зведена (БАЛАНС) (2)'!E188-'зведена (БАЛАНС) (2)'!F188,0)</f>
        <v>29803.4</v>
      </c>
      <c r="F188" s="5">
        <f>IF('зведена (БАЛАНС) (2)'!F188&gt;'зведена (БАЛАНС) (2)'!E188,'зведена (БАЛАНС) (2)'!F188-'зведена (БАЛАНС) (2)'!E188,0)</f>
        <v>0</v>
      </c>
    </row>
    <row r="189" spans="1:6" s="28" customFormat="1" x14ac:dyDescent="0.25">
      <c r="A189" s="33" t="s">
        <v>756</v>
      </c>
      <c r="B189" s="34" t="s">
        <v>985</v>
      </c>
      <c r="C189" s="18" t="s">
        <v>538</v>
      </c>
      <c r="D189" s="32" t="s">
        <v>2915</v>
      </c>
      <c r="E189" s="5">
        <f>IF('зведена (БАЛАНС) (2)'!E189&gt;'зведена (БАЛАНС) (2)'!F189,'зведена (БАЛАНС) (2)'!E189-'зведена (БАЛАНС) (2)'!F189,0)</f>
        <v>1201.8</v>
      </c>
      <c r="F189" s="5">
        <f>IF('зведена (БАЛАНС) (2)'!F189&gt;'зведена (БАЛАНС) (2)'!E189,'зведена (БАЛАНС) (2)'!F189-'зведена (БАЛАНС) (2)'!E189,0)</f>
        <v>0</v>
      </c>
    </row>
    <row r="190" spans="1:6" s="28" customFormat="1" x14ac:dyDescent="0.25">
      <c r="A190" s="33" t="s">
        <v>756</v>
      </c>
      <c r="B190" s="34" t="s">
        <v>984</v>
      </c>
      <c r="C190" s="18" t="s">
        <v>539</v>
      </c>
      <c r="D190" s="32" t="s">
        <v>1299</v>
      </c>
      <c r="E190" s="5">
        <f>IF('зведена (БАЛАНС) (2)'!E190&gt;'зведена (БАЛАНС) (2)'!F190,'зведена (БАЛАНС) (2)'!E190-'зведена (БАЛАНС) (2)'!F190,0)</f>
        <v>9208.2000000000007</v>
      </c>
      <c r="F190" s="5">
        <f>IF('зведена (БАЛАНС) (2)'!F190&gt;'зведена (БАЛАНС) (2)'!E190,'зведена (БАЛАНС) (2)'!F190-'зведена (БАЛАНС) (2)'!E190,0)</f>
        <v>0</v>
      </c>
    </row>
    <row r="191" spans="1:6" s="28" customFormat="1" x14ac:dyDescent="0.25">
      <c r="A191" s="33" t="s">
        <v>756</v>
      </c>
      <c r="B191" s="34" t="s">
        <v>984</v>
      </c>
      <c r="C191" s="18" t="s">
        <v>540</v>
      </c>
      <c r="D191" s="32" t="s">
        <v>2916</v>
      </c>
      <c r="E191" s="5">
        <f>IF('зведена (БАЛАНС) (2)'!E191&gt;'зведена (БАЛАНС) (2)'!F191,'зведена (БАЛАНС) (2)'!E191-'зведена (БАЛАНС) (2)'!F191,0)</f>
        <v>2196.8000000000002</v>
      </c>
      <c r="F191" s="5">
        <f>IF('зведена (БАЛАНС) (2)'!F191&gt;'зведена (БАЛАНС) (2)'!E191,'зведена (БАЛАНС) (2)'!F191-'зведена (БАЛАНС) (2)'!E191,0)</f>
        <v>0</v>
      </c>
    </row>
    <row r="192" spans="1:6" s="28" customFormat="1" x14ac:dyDescent="0.25">
      <c r="A192" s="33" t="s">
        <v>756</v>
      </c>
      <c r="B192" s="34" t="s">
        <v>984</v>
      </c>
      <c r="C192" s="18" t="s">
        <v>541</v>
      </c>
      <c r="D192" s="32" t="s">
        <v>2917</v>
      </c>
      <c r="E192" s="5">
        <f>IF('зведена (БАЛАНС) (2)'!E192&gt;'зведена (БАЛАНС) (2)'!F192,'зведена (БАЛАНС) (2)'!E192-'зведена (БАЛАНС) (2)'!F192,0)</f>
        <v>0</v>
      </c>
      <c r="F192" s="5">
        <f>IF('зведена (БАЛАНС) (2)'!F192&gt;'зведена (БАЛАНС) (2)'!E192,'зведена (БАЛАНС) (2)'!F192-'зведена (БАЛАНС) (2)'!E192,0)</f>
        <v>1751.9</v>
      </c>
    </row>
    <row r="193" spans="1:6" s="28" customFormat="1" x14ac:dyDescent="0.25">
      <c r="A193" s="33" t="s">
        <v>756</v>
      </c>
      <c r="B193" s="34" t="s">
        <v>985</v>
      </c>
      <c r="C193" s="18" t="s">
        <v>542</v>
      </c>
      <c r="D193" s="32" t="s">
        <v>2918</v>
      </c>
      <c r="E193" s="5">
        <f>IF('зведена (БАЛАНС) (2)'!E193&gt;'зведена (БАЛАНС) (2)'!F193,'зведена (БАЛАНС) (2)'!E193-'зведена (БАЛАНС) (2)'!F193,0)</f>
        <v>0</v>
      </c>
      <c r="F193" s="5">
        <f>IF('зведена (БАЛАНС) (2)'!F193&gt;'зведена (БАЛАНС) (2)'!E193,'зведена (БАЛАНС) (2)'!F193-'зведена (БАЛАНС) (2)'!E193,0)</f>
        <v>14043.5</v>
      </c>
    </row>
    <row r="194" spans="1:6" s="28" customFormat="1" x14ac:dyDescent="0.25">
      <c r="A194" s="33" t="s">
        <v>756</v>
      </c>
      <c r="B194" s="34" t="s">
        <v>985</v>
      </c>
      <c r="C194" s="18" t="s">
        <v>543</v>
      </c>
      <c r="D194" s="32" t="s">
        <v>2919</v>
      </c>
      <c r="E194" s="5">
        <f>IF('зведена (БАЛАНС) (2)'!E194&gt;'зведена (БАЛАНС) (2)'!F194,'зведена (БАЛАНС) (2)'!E194-'зведена (БАЛАНС) (2)'!F194,0)</f>
        <v>0</v>
      </c>
      <c r="F194" s="5">
        <f>IF('зведена (БАЛАНС) (2)'!F194&gt;'зведена (БАЛАНС) (2)'!E194,'зведена (БАЛАНС) (2)'!F194-'зведена (БАЛАНС) (2)'!E194,0)</f>
        <v>1259.2</v>
      </c>
    </row>
    <row r="195" spans="1:6" s="28" customFormat="1" x14ac:dyDescent="0.25">
      <c r="A195" s="33" t="s">
        <v>756</v>
      </c>
      <c r="B195" s="34" t="s">
        <v>984</v>
      </c>
      <c r="C195" s="18" t="s">
        <v>544</v>
      </c>
      <c r="D195" s="32" t="s">
        <v>2519</v>
      </c>
      <c r="E195" s="5">
        <f>IF('зведена (БАЛАНС) (2)'!E195&gt;'зведена (БАЛАНС) (2)'!F195,'зведена (БАЛАНС) (2)'!E195-'зведена (БАЛАНС) (2)'!F195,0)</f>
        <v>0</v>
      </c>
      <c r="F195" s="5">
        <f>IF('зведена (БАЛАНС) (2)'!F195&gt;'зведена (БАЛАНС) (2)'!E195,'зведена (БАЛАНС) (2)'!F195-'зведена (БАЛАНС) (2)'!E195,0)</f>
        <v>2787.9</v>
      </c>
    </row>
    <row r="196" spans="1:6" s="27" customFormat="1" x14ac:dyDescent="0.25">
      <c r="A196" s="33" t="s">
        <v>756</v>
      </c>
      <c r="B196" s="34" t="s">
        <v>984</v>
      </c>
      <c r="C196" s="18" t="s">
        <v>545</v>
      </c>
      <c r="D196" s="32" t="s">
        <v>2920</v>
      </c>
      <c r="E196" s="5">
        <f>IF('зведена (БАЛАНС) (2)'!E196&gt;'зведена (БАЛАНС) (2)'!F196,'зведена (БАЛАНС) (2)'!E196-'зведена (БАЛАНС) (2)'!F196,0)</f>
        <v>11964.3</v>
      </c>
      <c r="F196" s="5">
        <f>IF('зведена (БАЛАНС) (2)'!F196&gt;'зведена (БАЛАНС) (2)'!E196,'зведена (БАЛАНС) (2)'!F196-'зведена (БАЛАНС) (2)'!E196,0)</f>
        <v>0</v>
      </c>
    </row>
    <row r="197" spans="1:6" x14ac:dyDescent="0.25">
      <c r="A197" s="33" t="s">
        <v>756</v>
      </c>
      <c r="B197" s="34" t="s">
        <v>985</v>
      </c>
      <c r="C197" s="18" t="s">
        <v>546</v>
      </c>
      <c r="D197" s="32" t="s">
        <v>2921</v>
      </c>
      <c r="E197" s="5">
        <f>IF('зведена (БАЛАНС) (2)'!E197&gt;'зведена (БАЛАНС) (2)'!F197,'зведена (БАЛАНС) (2)'!E197-'зведена (БАЛАНС) (2)'!F197,0)</f>
        <v>0</v>
      </c>
      <c r="F197" s="5">
        <f>IF('зведена (БАЛАНС) (2)'!F197&gt;'зведена (БАЛАНС) (2)'!E197,'зведена (БАЛАНС) (2)'!F197-'зведена (БАЛАНС) (2)'!E197,0)</f>
        <v>0</v>
      </c>
    </row>
    <row r="198" spans="1:6" x14ac:dyDescent="0.25">
      <c r="A198" s="33" t="s">
        <v>756</v>
      </c>
      <c r="B198" s="34" t="s">
        <v>985</v>
      </c>
      <c r="C198" s="18" t="s">
        <v>547</v>
      </c>
      <c r="D198" s="32" t="s">
        <v>2922</v>
      </c>
      <c r="E198" s="5">
        <f>IF('зведена (БАЛАНС) (2)'!E198&gt;'зведена (БАЛАНС) (2)'!F198,'зведена (БАЛАНС) (2)'!E198-'зведена (БАЛАНС) (2)'!F198,0)</f>
        <v>0</v>
      </c>
      <c r="F198" s="5">
        <f>IF('зведена (БАЛАНС) (2)'!F198&gt;'зведена (БАЛАНС) (2)'!E198,'зведена (БАЛАНС) (2)'!F198-'зведена (БАЛАНС) (2)'!E198,0)</f>
        <v>0</v>
      </c>
    </row>
    <row r="199" spans="1:6" x14ac:dyDescent="0.25">
      <c r="A199" s="33" t="s">
        <v>756</v>
      </c>
      <c r="B199" s="34" t="s">
        <v>984</v>
      </c>
      <c r="C199" s="18" t="s">
        <v>548</v>
      </c>
      <c r="D199" s="32" t="s">
        <v>2923</v>
      </c>
      <c r="E199" s="5">
        <f>IF('зведена (БАЛАНС) (2)'!E199&gt;'зведена (БАЛАНС) (2)'!F199,'зведена (БАЛАНС) (2)'!E199-'зведена (БАЛАНС) (2)'!F199,0)</f>
        <v>0</v>
      </c>
      <c r="F199" s="5">
        <f>IF('зведена (БАЛАНС) (2)'!F199&gt;'зведена (БАЛАНС) (2)'!E199,'зведена (БАЛАНС) (2)'!F199-'зведена (БАЛАНС) (2)'!E199,0)</f>
        <v>2576.5</v>
      </c>
    </row>
    <row r="200" spans="1:6" x14ac:dyDescent="0.25">
      <c r="A200" s="33" t="s">
        <v>756</v>
      </c>
      <c r="B200" s="34" t="s">
        <v>984</v>
      </c>
      <c r="C200" s="18" t="s">
        <v>677</v>
      </c>
      <c r="D200" s="32" t="s">
        <v>2924</v>
      </c>
      <c r="E200" s="5">
        <f>IF('зведена (БАЛАНС) (2)'!E200&gt;'зведена (БАЛАНС) (2)'!F200,'зведена (БАЛАНС) (2)'!E200-'зведена (БАЛАНС) (2)'!F200,0)</f>
        <v>0</v>
      </c>
      <c r="F200" s="5">
        <f>IF('зведена (БАЛАНС) (2)'!F200&gt;'зведена (БАЛАНС) (2)'!E200,'зведена (БАЛАНС) (2)'!F200-'зведена (БАЛАНС) (2)'!E200,0)</f>
        <v>1701</v>
      </c>
    </row>
    <row r="201" spans="1:6" x14ac:dyDescent="0.25">
      <c r="A201" s="33" t="s">
        <v>756</v>
      </c>
      <c r="B201" s="34" t="s">
        <v>984</v>
      </c>
      <c r="C201" s="18" t="s">
        <v>678</v>
      </c>
      <c r="D201" s="32" t="s">
        <v>2925</v>
      </c>
      <c r="E201" s="5">
        <f>IF('зведена (БАЛАНС) (2)'!E201&gt;'зведена (БАЛАНС) (2)'!F201,'зведена (БАЛАНС) (2)'!E201-'зведена (БАЛАНС) (2)'!F201,0)</f>
        <v>0</v>
      </c>
      <c r="F201" s="5">
        <f>IF('зведена (БАЛАНС) (2)'!F201&gt;'зведена (БАЛАНС) (2)'!E201,'зведена (БАЛАНС) (2)'!F201-'зведена (БАЛАНС) (2)'!E201,0)</f>
        <v>4104.1000000000004</v>
      </c>
    </row>
    <row r="202" spans="1:6" x14ac:dyDescent="0.25">
      <c r="A202" s="33" t="s">
        <v>756</v>
      </c>
      <c r="B202" s="34" t="s">
        <v>984</v>
      </c>
      <c r="C202" s="18" t="s">
        <v>679</v>
      </c>
      <c r="D202" s="32" t="s">
        <v>2926</v>
      </c>
      <c r="E202" s="5">
        <f>IF('зведена (БАЛАНС) (2)'!E202&gt;'зведена (БАЛАНС) (2)'!F202,'зведена (БАЛАНС) (2)'!E202-'зведена (БАЛАНС) (2)'!F202,0)</f>
        <v>0</v>
      </c>
      <c r="F202" s="5">
        <f>IF('зведена (БАЛАНС) (2)'!F202&gt;'зведена (БАЛАНС) (2)'!E202,'зведена (БАЛАНС) (2)'!F202-'зведена (БАЛАНС) (2)'!E202,0)</f>
        <v>2281.1</v>
      </c>
    </row>
    <row r="203" spans="1:6" x14ac:dyDescent="0.25">
      <c r="A203" s="35" t="s">
        <v>756</v>
      </c>
      <c r="B203" s="34" t="s">
        <v>984</v>
      </c>
      <c r="C203" s="30" t="s">
        <v>733</v>
      </c>
      <c r="D203" s="32" t="s">
        <v>1268</v>
      </c>
      <c r="E203" s="5">
        <f>IF('зведена (БАЛАНС) (2)'!E203&gt;'зведена (БАЛАНС) (2)'!F203,'зведена (БАЛАНС) (2)'!E203-'зведена (БАЛАНС) (2)'!F203,0)</f>
        <v>0</v>
      </c>
      <c r="F203" s="5">
        <f>IF('зведена (БАЛАНС) (2)'!F203&gt;'зведена (БАЛАНС) (2)'!E203,'зведена (БАЛАНС) (2)'!F203-'зведена (БАЛАНС) (2)'!E203,0)</f>
        <v>1286.7</v>
      </c>
    </row>
    <row r="204" spans="1:6" x14ac:dyDescent="0.25">
      <c r="A204" s="35" t="s">
        <v>756</v>
      </c>
      <c r="B204" s="34" t="s">
        <v>983</v>
      </c>
      <c r="C204" s="30" t="s">
        <v>734</v>
      </c>
      <c r="D204" s="32" t="s">
        <v>1269</v>
      </c>
      <c r="E204" s="5">
        <f>IF('зведена (БАЛАНС) (2)'!E204&gt;'зведена (БАЛАНС) (2)'!F204,'зведена (БАЛАНС) (2)'!E204-'зведена (БАЛАНС) (2)'!F204,0)</f>
        <v>0</v>
      </c>
      <c r="F204" s="5">
        <f>IF('зведена (БАЛАНС) (2)'!F204&gt;'зведена (БАЛАНС) (2)'!E204,'зведена (БАЛАНС) (2)'!F204-'зведена (БАЛАНС) (2)'!E204,0)</f>
        <v>11663.9</v>
      </c>
    </row>
    <row r="205" spans="1:6" x14ac:dyDescent="0.25">
      <c r="A205" s="35" t="s">
        <v>756</v>
      </c>
      <c r="B205" s="34" t="s">
        <v>984</v>
      </c>
      <c r="C205" s="30" t="s">
        <v>760</v>
      </c>
      <c r="D205" s="32" t="s">
        <v>1270</v>
      </c>
      <c r="E205" s="5">
        <f>IF('зведена (БАЛАНС) (2)'!E205&gt;'зведена (БАЛАНС) (2)'!F205,'зведена (БАЛАНС) (2)'!E205-'зведена (БАЛАНС) (2)'!F205,0)</f>
        <v>0</v>
      </c>
      <c r="F205" s="5">
        <f>IF('зведена (БАЛАНС) (2)'!F205&gt;'зведена (БАЛАНС) (2)'!E205,'зведена (БАЛАНС) (2)'!F205-'зведена (БАЛАНС) (2)'!E205,0)</f>
        <v>1175</v>
      </c>
    </row>
    <row r="206" spans="1:6" x14ac:dyDescent="0.25">
      <c r="A206" s="35" t="s">
        <v>756</v>
      </c>
      <c r="B206" s="34" t="s">
        <v>984</v>
      </c>
      <c r="C206" s="30" t="s">
        <v>830</v>
      </c>
      <c r="D206" s="32" t="s">
        <v>1271</v>
      </c>
      <c r="E206" s="5">
        <f>IF('зведена (БАЛАНС) (2)'!E206&gt;'зведена (БАЛАНС) (2)'!F206,'зведена (БАЛАНС) (2)'!E206-'зведена (БАЛАНС) (2)'!F206,0)</f>
        <v>11090.6</v>
      </c>
      <c r="F206" s="5">
        <f>IF('зведена (БАЛАНС) (2)'!F206&gt;'зведена (БАЛАНС) (2)'!E206,'зведена (БАЛАНС) (2)'!F206-'зведена (БАЛАНС) (2)'!E206,0)</f>
        <v>0</v>
      </c>
    </row>
    <row r="207" spans="1:6" x14ac:dyDescent="0.25">
      <c r="A207" s="35" t="s">
        <v>756</v>
      </c>
      <c r="B207" s="34" t="s">
        <v>986</v>
      </c>
      <c r="C207" s="30" t="s">
        <v>973</v>
      </c>
      <c r="D207" s="32" t="s">
        <v>2927</v>
      </c>
      <c r="E207" s="5">
        <f>IF('зведена (БАЛАНС) (2)'!E207&gt;'зведена (БАЛАНС) (2)'!F207,'зведена (БАЛАНС) (2)'!E207-'зведена (БАЛАНС) (2)'!F207,0)</f>
        <v>0</v>
      </c>
      <c r="F207" s="5">
        <f>IF('зведена (БАЛАНС) (2)'!F207&gt;'зведена (БАЛАНС) (2)'!E207,'зведена (БАЛАНС) (2)'!F207-'зведена (БАЛАНС) (2)'!E207,0)</f>
        <v>26345.5</v>
      </c>
    </row>
    <row r="208" spans="1:6" x14ac:dyDescent="0.25">
      <c r="A208" s="35" t="s">
        <v>756</v>
      </c>
      <c r="B208" s="34" t="s">
        <v>986</v>
      </c>
      <c r="C208" s="30" t="s">
        <v>974</v>
      </c>
      <c r="D208" s="32" t="s">
        <v>1382</v>
      </c>
      <c r="E208" s="5">
        <f>IF('зведена (БАЛАНС) (2)'!E208&gt;'зведена (БАЛАНС) (2)'!F208,'зведена (БАЛАНС) (2)'!E208-'зведена (БАЛАНС) (2)'!F208,0)</f>
        <v>0</v>
      </c>
      <c r="F208" s="5">
        <f>IF('зведена (БАЛАНС) (2)'!F208&gt;'зведена (БАЛАНС) (2)'!E208,'зведена (БАЛАНС) (2)'!F208-'зведена (БАЛАНС) (2)'!E208,0)</f>
        <v>4020.4</v>
      </c>
    </row>
    <row r="209" spans="1:6" x14ac:dyDescent="0.25">
      <c r="A209" s="35" t="s">
        <v>756</v>
      </c>
      <c r="B209" s="34" t="s">
        <v>984</v>
      </c>
      <c r="C209" s="30" t="s">
        <v>1029</v>
      </c>
      <c r="D209" s="32" t="s">
        <v>2928</v>
      </c>
      <c r="E209" s="5">
        <f>IF('зведена (БАЛАНС) (2)'!E209&gt;'зведена (БАЛАНС) (2)'!F209,'зведена (БАЛАНС) (2)'!E209-'зведена (БАЛАНС) (2)'!F209,0)</f>
        <v>4294.3999999999996</v>
      </c>
      <c r="F209" s="5">
        <f>IF('зведена (БАЛАНС) (2)'!F209&gt;'зведена (БАЛАНС) (2)'!E209,'зведена (БАЛАНС) (2)'!F209-'зведена (БАЛАНС) (2)'!E209,0)</f>
        <v>0</v>
      </c>
    </row>
    <row r="210" spans="1:6" x14ac:dyDescent="0.25">
      <c r="A210" s="35" t="s">
        <v>756</v>
      </c>
      <c r="B210" s="34" t="s">
        <v>984</v>
      </c>
      <c r="C210" s="30" t="s">
        <v>1030</v>
      </c>
      <c r="D210" s="32" t="s">
        <v>2929</v>
      </c>
      <c r="E210" s="5">
        <f>IF('зведена (БАЛАНС) (2)'!E210&gt;'зведена (БАЛАНС) (2)'!F210,'зведена (БАЛАНС) (2)'!E210-'зведена (БАЛАНС) (2)'!F210,0)</f>
        <v>0</v>
      </c>
      <c r="F210" s="5">
        <f>IF('зведена (БАЛАНС) (2)'!F210&gt;'зведена (БАЛАНС) (2)'!E210,'зведена (БАЛАНС) (2)'!F210-'зведена (БАЛАНС) (2)'!E210,0)</f>
        <v>2488</v>
      </c>
    </row>
    <row r="211" spans="1:6" x14ac:dyDescent="0.25">
      <c r="A211" s="35" t="s">
        <v>756</v>
      </c>
      <c r="B211" s="34" t="s">
        <v>985</v>
      </c>
      <c r="C211" s="30" t="s">
        <v>1031</v>
      </c>
      <c r="D211" s="32" t="s">
        <v>2930</v>
      </c>
      <c r="E211" s="5">
        <f>IF('зведена (БАЛАНС) (2)'!E211&gt;'зведена (БАЛАНС) (2)'!F211,'зведена (БАЛАНС) (2)'!E211-'зведена (БАЛАНС) (2)'!F211,0)</f>
        <v>0</v>
      </c>
      <c r="F211" s="5">
        <f>IF('зведена (БАЛАНС) (2)'!F211&gt;'зведена (БАЛАНС) (2)'!E211,'зведена (БАЛАНС) (2)'!F211-'зведена (БАЛАНС) (2)'!E211,0)</f>
        <v>2169.4</v>
      </c>
    </row>
    <row r="212" spans="1:6" x14ac:dyDescent="0.25">
      <c r="A212" s="35" t="s">
        <v>756</v>
      </c>
      <c r="B212" s="34" t="s">
        <v>985</v>
      </c>
      <c r="C212" s="30" t="s">
        <v>1032</v>
      </c>
      <c r="D212" s="32" t="s">
        <v>2931</v>
      </c>
      <c r="E212" s="5">
        <f>IF('зведена (БАЛАНС) (2)'!E212&gt;'зведена (БАЛАНС) (2)'!F212,'зведена (БАЛАНС) (2)'!E212-'зведена (БАЛАНС) (2)'!F212,0)</f>
        <v>0</v>
      </c>
      <c r="F212" s="5">
        <f>IF('зведена (БАЛАНС) (2)'!F212&gt;'зведена (БАЛАНС) (2)'!E212,'зведена (БАЛАНС) (2)'!F212-'зведена (БАЛАНС) (2)'!E212,0)</f>
        <v>16850</v>
      </c>
    </row>
    <row r="213" spans="1:6" x14ac:dyDescent="0.25">
      <c r="A213" s="35" t="s">
        <v>756</v>
      </c>
      <c r="B213" s="34" t="s">
        <v>984</v>
      </c>
      <c r="C213" s="30" t="s">
        <v>1033</v>
      </c>
      <c r="D213" s="32" t="s">
        <v>2328</v>
      </c>
      <c r="E213" s="5">
        <f>IF('зведена (БАЛАНС) (2)'!E213&gt;'зведена (БАЛАНС) (2)'!F213,'зведена (БАЛАНС) (2)'!E213-'зведена (БАЛАНС) (2)'!F213,0)</f>
        <v>0</v>
      </c>
      <c r="F213" s="5">
        <f>IF('зведена (БАЛАНС) (2)'!F213&gt;'зведена (БАЛАНС) (2)'!E213,'зведена (БАЛАНС) (2)'!F213-'зведена (БАЛАНС) (2)'!E213,0)</f>
        <v>6268.9</v>
      </c>
    </row>
    <row r="214" spans="1:6" x14ac:dyDescent="0.25">
      <c r="A214" s="35" t="s">
        <v>756</v>
      </c>
      <c r="B214" s="34" t="s">
        <v>983</v>
      </c>
      <c r="C214" s="30" t="s">
        <v>1034</v>
      </c>
      <c r="D214" s="32" t="s">
        <v>2932</v>
      </c>
      <c r="E214" s="5">
        <f>IF('зведена (БАЛАНС) (2)'!E214&gt;'зведена (БАЛАНС) (2)'!F214,'зведена (БАЛАНС) (2)'!E214-'зведена (БАЛАНС) (2)'!F214,0)</f>
        <v>0</v>
      </c>
      <c r="F214" s="5">
        <f>IF('зведена (БАЛАНС) (2)'!F214&gt;'зведена (БАЛАНС) (2)'!E214,'зведена (БАЛАНС) (2)'!F214-'зведена (БАЛАНС) (2)'!E214,0)</f>
        <v>25164.3</v>
      </c>
    </row>
    <row r="215" spans="1:6" x14ac:dyDescent="0.25">
      <c r="A215" s="35" t="s">
        <v>756</v>
      </c>
      <c r="B215" s="34" t="s">
        <v>985</v>
      </c>
      <c r="C215" s="30" t="s">
        <v>1035</v>
      </c>
      <c r="D215" s="32" t="s">
        <v>2933</v>
      </c>
      <c r="E215" s="5">
        <f>IF('зведена (БАЛАНС) (2)'!E215&gt;'зведена (БАЛАНС) (2)'!F215,'зведена (БАЛАНС) (2)'!E215-'зведена (БАЛАНС) (2)'!F215,0)</f>
        <v>77103</v>
      </c>
      <c r="F215" s="5">
        <f>IF('зведена (БАЛАНС) (2)'!F215&gt;'зведена (БАЛАНС) (2)'!E215,'зведена (БАЛАНС) (2)'!F215-'зведена (БАЛАНС) (2)'!E215,0)</f>
        <v>0</v>
      </c>
    </row>
    <row r="216" spans="1:6" x14ac:dyDescent="0.25">
      <c r="A216" s="35" t="s">
        <v>756</v>
      </c>
      <c r="B216" s="34" t="s">
        <v>986</v>
      </c>
      <c r="C216" s="30" t="s">
        <v>1058</v>
      </c>
      <c r="D216" s="32" t="s">
        <v>2934</v>
      </c>
      <c r="E216" s="5">
        <f>IF('зведена (БАЛАНС) (2)'!E216&gt;'зведена (БАЛАНС) (2)'!F216,'зведена (БАЛАНС) (2)'!E216-'зведена (БАЛАНС) (2)'!F216,0)</f>
        <v>0</v>
      </c>
      <c r="F216" s="5">
        <f>IF('зведена (БАЛАНС) (2)'!F216&gt;'зведена (БАЛАНС) (2)'!E216,'зведена (БАЛАНС) (2)'!F216-'зведена (БАЛАНС) (2)'!E216,0)</f>
        <v>0</v>
      </c>
    </row>
    <row r="217" spans="1:6" x14ac:dyDescent="0.25">
      <c r="A217" s="35" t="s">
        <v>756</v>
      </c>
      <c r="B217" s="34" t="s">
        <v>984</v>
      </c>
      <c r="C217" s="30" t="s">
        <v>1282</v>
      </c>
      <c r="D217" s="80" t="s">
        <v>1283</v>
      </c>
      <c r="E217" s="5">
        <f>IF('зведена (БАЛАНС) (2)'!E217&gt;'зведена (БАЛАНС) (2)'!F217,'зведена (БАЛАНС) (2)'!E217-'зведена (БАЛАНС) (2)'!F217,0)</f>
        <v>0</v>
      </c>
      <c r="F217" s="5">
        <f>IF('зведена (БАЛАНС) (2)'!F217&gt;'зведена (БАЛАНС) (2)'!E217,'зведена (БАЛАНС) (2)'!F217-'зведена (БАЛАНС) (2)'!E217,0)</f>
        <v>4100.1000000000004</v>
      </c>
    </row>
    <row r="218" spans="1:6" x14ac:dyDescent="0.25">
      <c r="A218" s="35" t="s">
        <v>756</v>
      </c>
      <c r="B218" s="34" t="s">
        <v>983</v>
      </c>
      <c r="C218" s="30" t="s">
        <v>1284</v>
      </c>
      <c r="D218" s="80" t="s">
        <v>1285</v>
      </c>
      <c r="E218" s="5">
        <f>IF('зведена (БАЛАНС) (2)'!E218&gt;'зведена (БАЛАНС) (2)'!F218,'зведена (БАЛАНС) (2)'!E218-'зведена (БАЛАНС) (2)'!F218,0)</f>
        <v>0</v>
      </c>
      <c r="F218" s="5">
        <f>IF('зведена (БАЛАНС) (2)'!F218&gt;'зведена (БАЛАНС) (2)'!E218,'зведена (БАЛАНС) (2)'!F218-'зведена (БАЛАНС) (2)'!E218,0)</f>
        <v>2472.1</v>
      </c>
    </row>
    <row r="219" spans="1:6" x14ac:dyDescent="0.25">
      <c r="A219" s="35" t="s">
        <v>756</v>
      </c>
      <c r="B219" s="34" t="s">
        <v>986</v>
      </c>
      <c r="C219" s="30" t="s">
        <v>1286</v>
      </c>
      <c r="D219" s="80" t="s">
        <v>1287</v>
      </c>
      <c r="E219" s="5">
        <f>IF('зведена (БАЛАНС) (2)'!E219&gt;'зведена (БАЛАНС) (2)'!F219,'зведена (БАЛАНС) (2)'!E219-'зведена (БАЛАНС) (2)'!F219,0)</f>
        <v>12719.3</v>
      </c>
      <c r="F219" s="5">
        <f>IF('зведена (БАЛАНС) (2)'!F219&gt;'зведена (БАЛАНС) (2)'!E219,'зведена (БАЛАНС) (2)'!F219-'зведена (БАЛАНС) (2)'!E219,0)</f>
        <v>0</v>
      </c>
    </row>
    <row r="220" spans="1:6" x14ac:dyDescent="0.25">
      <c r="A220" s="35" t="s">
        <v>756</v>
      </c>
      <c r="B220" s="34" t="s">
        <v>985</v>
      </c>
      <c r="C220" s="30" t="s">
        <v>1288</v>
      </c>
      <c r="D220" s="80" t="s">
        <v>1289</v>
      </c>
      <c r="E220" s="5">
        <f>IF('зведена (БАЛАНС) (2)'!E220&gt;'зведена (БАЛАНС) (2)'!F220,'зведена (БАЛАНС) (2)'!E220-'зведена (БАЛАНС) (2)'!F220,0)</f>
        <v>0</v>
      </c>
      <c r="F220" s="5">
        <f>IF('зведена (БАЛАНС) (2)'!F220&gt;'зведена (БАЛАНС) (2)'!E220,'зведена (БАЛАНС) (2)'!F220-'зведена (БАЛАНС) (2)'!E220,0)</f>
        <v>0</v>
      </c>
    </row>
    <row r="221" spans="1:6" x14ac:dyDescent="0.25">
      <c r="A221" s="35" t="s">
        <v>756</v>
      </c>
      <c r="B221" s="34" t="s">
        <v>986</v>
      </c>
      <c r="C221" s="30" t="s">
        <v>1290</v>
      </c>
      <c r="D221" s="80" t="s">
        <v>2935</v>
      </c>
      <c r="E221" s="5">
        <f>IF('зведена (БАЛАНС) (2)'!E221&gt;'зведена (БАЛАНС) (2)'!F221,'зведена (БАЛАНС) (2)'!E221-'зведена (БАЛАНС) (2)'!F221,0)</f>
        <v>1184808</v>
      </c>
      <c r="F221" s="5">
        <f>IF('зведена (БАЛАНС) (2)'!F221&gt;'зведена (БАЛАНС) (2)'!E221,'зведена (БАЛАНС) (2)'!F221-'зведена (БАЛАНС) (2)'!E221,0)</f>
        <v>0</v>
      </c>
    </row>
    <row r="222" spans="1:6" x14ac:dyDescent="0.25">
      <c r="A222" s="35" t="s">
        <v>756</v>
      </c>
      <c r="B222" s="34" t="s">
        <v>986</v>
      </c>
      <c r="C222" s="30" t="s">
        <v>1292</v>
      </c>
      <c r="D222" s="80" t="s">
        <v>1293</v>
      </c>
      <c r="E222" s="5">
        <f>IF('зведена (БАЛАНС) (2)'!E222&gt;'зведена (БАЛАНС) (2)'!F222,'зведена (БАЛАНС) (2)'!E222-'зведена (БАЛАНС) (2)'!F222,0)</f>
        <v>0</v>
      </c>
      <c r="F222" s="5">
        <f>IF('зведена (БАЛАНС) (2)'!F222&gt;'зведена (БАЛАНС) (2)'!E222,'зведена (БАЛАНС) (2)'!F222-'зведена (БАЛАНС) (2)'!E222,0)</f>
        <v>3373.6</v>
      </c>
    </row>
    <row r="223" spans="1:6" s="28" customFormat="1" x14ac:dyDescent="0.25">
      <c r="A223" s="35" t="s">
        <v>756</v>
      </c>
      <c r="B223" s="34" t="s">
        <v>986</v>
      </c>
      <c r="C223" s="30" t="s">
        <v>1294</v>
      </c>
      <c r="D223" s="80" t="s">
        <v>1295</v>
      </c>
      <c r="E223" s="5">
        <f>IF('зведена (БАЛАНС) (2)'!E223&gt;'зведена (БАЛАНС) (2)'!F223,'зведена (БАЛАНС) (2)'!E223-'зведена (БАЛАНС) (2)'!F223,0)</f>
        <v>461501.3</v>
      </c>
      <c r="F223" s="5">
        <f>IF('зведена (БАЛАНС) (2)'!F223&gt;'зведена (БАЛАНС) (2)'!E223,'зведена (БАЛАНС) (2)'!F223-'зведена (БАЛАНС) (2)'!E223,0)</f>
        <v>0</v>
      </c>
    </row>
    <row r="224" spans="1:6" s="28" customFormat="1" x14ac:dyDescent="0.25">
      <c r="A224" s="35" t="s">
        <v>756</v>
      </c>
      <c r="B224" s="34" t="s">
        <v>984</v>
      </c>
      <c r="C224" s="30" t="s">
        <v>1296</v>
      </c>
      <c r="D224" s="80" t="s">
        <v>1297</v>
      </c>
      <c r="E224" s="5">
        <f>IF('зведена (БАЛАНС) (2)'!E224&gt;'зведена (БАЛАНС) (2)'!F224,'зведена (БАЛАНС) (2)'!E224-'зведена (БАЛАНС) (2)'!F224,0)</f>
        <v>0</v>
      </c>
      <c r="F224" s="5">
        <f>IF('зведена (БАЛАНС) (2)'!F224&gt;'зведена (БАЛАНС) (2)'!E224,'зведена (БАЛАНС) (2)'!F224-'зведена (БАЛАНС) (2)'!E224,0)</f>
        <v>7247.6</v>
      </c>
    </row>
    <row r="225" spans="1:6" s="28" customFormat="1" x14ac:dyDescent="0.25">
      <c r="A225" s="35" t="s">
        <v>756</v>
      </c>
      <c r="B225" s="34" t="s">
        <v>984</v>
      </c>
      <c r="C225" s="30" t="s">
        <v>1298</v>
      </c>
      <c r="D225" s="80" t="s">
        <v>1299</v>
      </c>
      <c r="E225" s="5">
        <f>IF('зведена (БАЛАНС) (2)'!E225&gt;'зведена (БАЛАНС) (2)'!F225,'зведена (БАЛАНС) (2)'!E225-'зведена (БАЛАНС) (2)'!F225,0)</f>
        <v>0</v>
      </c>
      <c r="F225" s="5">
        <f>IF('зведена (БАЛАНС) (2)'!F225&gt;'зведена (БАЛАНС) (2)'!E225,'зведена (БАЛАНС) (2)'!F225-'зведена (БАЛАНС) (2)'!E225,0)</f>
        <v>2949.2</v>
      </c>
    </row>
    <row r="226" spans="1:6" s="28" customFormat="1" x14ac:dyDescent="0.25">
      <c r="A226" s="35" t="s">
        <v>756</v>
      </c>
      <c r="B226" s="34" t="s">
        <v>986</v>
      </c>
      <c r="C226" s="30" t="s">
        <v>1300</v>
      </c>
      <c r="D226" s="80" t="s">
        <v>1301</v>
      </c>
      <c r="E226" s="5">
        <f>IF('зведена (БАЛАНС) (2)'!E226&gt;'зведена (БАЛАНС) (2)'!F226,'зведена (БАЛАНС) (2)'!E226-'зведена (БАЛАНС) (2)'!F226,0)</f>
        <v>30648.2</v>
      </c>
      <c r="F226" s="5">
        <f>IF('зведена (БАЛАНС) (2)'!F226&gt;'зведена (БАЛАНС) (2)'!E226,'зведена (БАЛАНС) (2)'!F226-'зведена (БАЛАНС) (2)'!E226,0)</f>
        <v>0</v>
      </c>
    </row>
    <row r="227" spans="1:6" s="28" customFormat="1" x14ac:dyDescent="0.25">
      <c r="A227" s="35" t="s">
        <v>756</v>
      </c>
      <c r="B227" s="34" t="s">
        <v>986</v>
      </c>
      <c r="C227" s="30" t="s">
        <v>1302</v>
      </c>
      <c r="D227" s="80" t="s">
        <v>1303</v>
      </c>
      <c r="E227" s="5">
        <f>IF('зведена (БАЛАНС) (2)'!E227&gt;'зведена (БАЛАНС) (2)'!F227,'зведена (БАЛАНС) (2)'!E227-'зведена (БАЛАНС) (2)'!F227,0)</f>
        <v>0</v>
      </c>
      <c r="F227" s="5">
        <f>IF('зведена (БАЛАНС) (2)'!F227&gt;'зведена (БАЛАНС) (2)'!E227,'зведена (БАЛАНС) (2)'!F227-'зведена (БАЛАНС) (2)'!E227,0)</f>
        <v>40454.5</v>
      </c>
    </row>
    <row r="228" spans="1:6" s="28" customFormat="1" x14ac:dyDescent="0.25">
      <c r="A228" s="35" t="s">
        <v>756</v>
      </c>
      <c r="B228" s="34" t="s">
        <v>984</v>
      </c>
      <c r="C228" s="30" t="s">
        <v>1304</v>
      </c>
      <c r="D228" s="80" t="s">
        <v>1305</v>
      </c>
      <c r="E228" s="5">
        <f>IF('зведена (БАЛАНС) (2)'!E228&gt;'зведена (БАЛАНС) (2)'!F228,'зведена (БАЛАНС) (2)'!E228-'зведена (БАЛАНС) (2)'!F228,0)</f>
        <v>0</v>
      </c>
      <c r="F228" s="5">
        <f>IF('зведена (БАЛАНС) (2)'!F228&gt;'зведена (БАЛАНС) (2)'!E228,'зведена (БАЛАНС) (2)'!F228-'зведена (БАЛАНС) (2)'!E228,0)</f>
        <v>3879.4</v>
      </c>
    </row>
    <row r="229" spans="1:6" s="28" customFormat="1" x14ac:dyDescent="0.25">
      <c r="A229" s="35" t="s">
        <v>756</v>
      </c>
      <c r="B229" s="34" t="s">
        <v>986</v>
      </c>
      <c r="C229" s="30" t="s">
        <v>1306</v>
      </c>
      <c r="D229" s="80" t="s">
        <v>1307</v>
      </c>
      <c r="E229" s="5">
        <f>IF('зведена (БАЛАНС) (2)'!E229&gt;'зведена (БАЛАНС) (2)'!F229,'зведена (БАЛАНС) (2)'!E229-'зведена (БАЛАНС) (2)'!F229,0)</f>
        <v>0</v>
      </c>
      <c r="F229" s="5">
        <f>IF('зведена (БАЛАНС) (2)'!F229&gt;'зведена (БАЛАНС) (2)'!E229,'зведена (БАЛАНС) (2)'!F229-'зведена (БАЛАНС) (2)'!E229,0)</f>
        <v>9093.7000000000007</v>
      </c>
    </row>
    <row r="230" spans="1:6" s="28" customFormat="1" x14ac:dyDescent="0.25">
      <c r="A230" s="35" t="s">
        <v>756</v>
      </c>
      <c r="B230" s="34" t="s">
        <v>986</v>
      </c>
      <c r="C230" s="30" t="s">
        <v>1308</v>
      </c>
      <c r="D230" s="80" t="s">
        <v>1309</v>
      </c>
      <c r="E230" s="5">
        <f>IF('зведена (БАЛАНС) (2)'!E230&gt;'зведена (БАЛАНС) (2)'!F230,'зведена (БАЛАНС) (2)'!E230-'зведена (БАЛАНС) (2)'!F230,0)</f>
        <v>11144.6</v>
      </c>
      <c r="F230" s="5">
        <f>IF('зведена (БАЛАНС) (2)'!F230&gt;'зведена (БАЛАНС) (2)'!E230,'зведена (БАЛАНС) (2)'!F230-'зведена (БАЛАНС) (2)'!E230,0)</f>
        <v>0</v>
      </c>
    </row>
    <row r="231" spans="1:6" s="28" customFormat="1" x14ac:dyDescent="0.25">
      <c r="A231" s="35" t="s">
        <v>756</v>
      </c>
      <c r="B231" s="34" t="s">
        <v>985</v>
      </c>
      <c r="C231" s="30" t="s">
        <v>1310</v>
      </c>
      <c r="D231" s="80" t="s">
        <v>1311</v>
      </c>
      <c r="E231" s="5">
        <f>IF('зведена (БАЛАНС) (2)'!E231&gt;'зведена (БАЛАНС) (2)'!F231,'зведена (БАЛАНС) (2)'!E231-'зведена (БАЛАНС) (2)'!F231,0)</f>
        <v>0</v>
      </c>
      <c r="F231" s="5">
        <f>IF('зведена (БАЛАНС) (2)'!F231&gt;'зведена (БАЛАНС) (2)'!E231,'зведена (БАЛАНС) (2)'!F231-'зведена (БАЛАНС) (2)'!E231,0)</f>
        <v>3577.1</v>
      </c>
    </row>
    <row r="232" spans="1:6" s="27" customFormat="1" x14ac:dyDescent="0.25">
      <c r="A232" s="35" t="s">
        <v>756</v>
      </c>
      <c r="B232" s="34" t="s">
        <v>984</v>
      </c>
      <c r="C232" s="30" t="s">
        <v>1312</v>
      </c>
      <c r="D232" s="80" t="s">
        <v>1313</v>
      </c>
      <c r="E232" s="5">
        <f>IF('зведена (БАЛАНС) (2)'!E232&gt;'зведена (БАЛАНС) (2)'!F232,'зведена (БАЛАНС) (2)'!E232-'зведена (БАЛАНС) (2)'!F232,0)</f>
        <v>0</v>
      </c>
      <c r="F232" s="5">
        <f>IF('зведена (БАЛАНС) (2)'!F232&gt;'зведена (БАЛАНС) (2)'!E232,'зведена (БАЛАНС) (2)'!F232-'зведена (БАЛАНС) (2)'!E232,0)</f>
        <v>12224.3</v>
      </c>
    </row>
    <row r="233" spans="1:6" x14ac:dyDescent="0.25">
      <c r="A233" s="35" t="s">
        <v>756</v>
      </c>
      <c r="B233" s="34" t="s">
        <v>983</v>
      </c>
      <c r="C233" s="30" t="s">
        <v>1314</v>
      </c>
      <c r="D233" s="80" t="s">
        <v>1315</v>
      </c>
      <c r="E233" s="5">
        <f>IF('зведена (БАЛАНС) (2)'!E233&gt;'зведена (БАЛАНС) (2)'!F233,'зведена (БАЛАНС) (2)'!E233-'зведена (БАЛАНС) (2)'!F233,0)</f>
        <v>0</v>
      </c>
      <c r="F233" s="5">
        <f>IF('зведена (БАЛАНС) (2)'!F233&gt;'зведена (БАЛАНС) (2)'!E233,'зведена (БАЛАНС) (2)'!F233-'зведена (БАЛАНС) (2)'!E233,0)</f>
        <v>7076.2</v>
      </c>
    </row>
    <row r="234" spans="1:6" x14ac:dyDescent="0.25">
      <c r="A234" s="35" t="s">
        <v>756</v>
      </c>
      <c r="B234" s="34" t="s">
        <v>986</v>
      </c>
      <c r="C234" s="30" t="s">
        <v>1316</v>
      </c>
      <c r="D234" s="80" t="s">
        <v>1317</v>
      </c>
      <c r="E234" s="5">
        <f>IF('зведена (БАЛАНС) (2)'!E234&gt;'зведена (БАЛАНС) (2)'!F234,'зведена (БАЛАНС) (2)'!E234-'зведена (БАЛАНС) (2)'!F234,0)</f>
        <v>0</v>
      </c>
      <c r="F234" s="5">
        <f>IF('зведена (БАЛАНС) (2)'!F234&gt;'зведена (БАЛАНС) (2)'!E234,'зведена (БАЛАНС) (2)'!F234-'зведена (БАЛАНС) (2)'!E234,0)</f>
        <v>6491.5</v>
      </c>
    </row>
    <row r="235" spans="1:6" x14ac:dyDescent="0.25">
      <c r="A235" s="35" t="s">
        <v>756</v>
      </c>
      <c r="B235" s="34" t="s">
        <v>984</v>
      </c>
      <c r="C235" s="30" t="s">
        <v>1318</v>
      </c>
      <c r="D235" s="80" t="s">
        <v>1319</v>
      </c>
      <c r="E235" s="5">
        <f>IF('зведена (БАЛАНС) (2)'!E235&gt;'зведена (БАЛАНС) (2)'!F235,'зведена (БАЛАНС) (2)'!E235-'зведена (БАЛАНС) (2)'!F235,0)</f>
        <v>0</v>
      </c>
      <c r="F235" s="5">
        <f>IF('зведена (БАЛАНС) (2)'!F235&gt;'зведена (БАЛАНС) (2)'!E235,'зведена (БАЛАНС) (2)'!F235-'зведена (БАЛАНС) (2)'!E235,0)</f>
        <v>124.4</v>
      </c>
    </row>
    <row r="236" spans="1:6" x14ac:dyDescent="0.25">
      <c r="A236" s="35" t="s">
        <v>756</v>
      </c>
      <c r="B236" s="34" t="s">
        <v>986</v>
      </c>
      <c r="C236" s="30" t="s">
        <v>1320</v>
      </c>
      <c r="D236" s="80" t="s">
        <v>1321</v>
      </c>
      <c r="E236" s="5">
        <f>IF('зведена (БАЛАНС) (2)'!E236&gt;'зведена (БАЛАНС) (2)'!F236,'зведена (БАЛАНС) (2)'!E236-'зведена (БАЛАНС) (2)'!F236,0)</f>
        <v>16307.1</v>
      </c>
      <c r="F236" s="5">
        <f>IF('зведена (БАЛАНС) (2)'!F236&gt;'зведена (БАЛАНС) (2)'!E236,'зведена (БАЛАНС) (2)'!F236-'зведена (БАЛАНС) (2)'!E236,0)</f>
        <v>0</v>
      </c>
    </row>
    <row r="237" spans="1:6" x14ac:dyDescent="0.25">
      <c r="A237" s="17" t="s">
        <v>761</v>
      </c>
      <c r="B237" s="17" t="s">
        <v>7</v>
      </c>
      <c r="C237" s="17" t="s">
        <v>762</v>
      </c>
      <c r="D237" s="11" t="s">
        <v>11</v>
      </c>
      <c r="E237" s="11">
        <f>E239+E245+E238</f>
        <v>580143.1</v>
      </c>
      <c r="F237" s="11">
        <f>F239+F245+F238</f>
        <v>1009358.7000000002</v>
      </c>
    </row>
    <row r="238" spans="1:6" x14ac:dyDescent="0.25">
      <c r="A238" s="33" t="s">
        <v>761</v>
      </c>
      <c r="B238" s="34" t="s">
        <v>6</v>
      </c>
      <c r="C238" s="18" t="s">
        <v>63</v>
      </c>
      <c r="D238" s="32" t="s">
        <v>840</v>
      </c>
      <c r="E238" s="5">
        <f>IF('зведена (БАЛАНС) (2)'!E238&gt;'зведена (БАЛАНС) (2)'!F238,'зведена (БАЛАНС) (2)'!E238-'зведена (БАЛАНС) (2)'!F238,0)</f>
        <v>0</v>
      </c>
      <c r="F238" s="5">
        <f>IF('зведена (БАЛАНС) (2)'!F238&gt;'зведена (БАЛАНС) (2)'!E238,'зведена (БАЛАНС) (2)'!F238-'зведена (БАЛАНС) (2)'!E238,0)</f>
        <v>42341.9</v>
      </c>
    </row>
    <row r="239" spans="1:6" x14ac:dyDescent="0.25">
      <c r="A239" s="19" t="s">
        <v>761</v>
      </c>
      <c r="B239" s="19" t="s">
        <v>5</v>
      </c>
      <c r="C239" s="19" t="s">
        <v>763</v>
      </c>
      <c r="D239" s="7" t="s">
        <v>2796</v>
      </c>
      <c r="E239" s="7">
        <f>SUM(E240:E244)</f>
        <v>0</v>
      </c>
      <c r="F239" s="7">
        <f>SUM(F240:F244)</f>
        <v>0</v>
      </c>
    </row>
    <row r="240" spans="1:6" x14ac:dyDescent="0.25">
      <c r="A240" s="33" t="s">
        <v>761</v>
      </c>
      <c r="B240" s="34" t="s">
        <v>4</v>
      </c>
      <c r="C240" s="18" t="s">
        <v>64</v>
      </c>
      <c r="D240" s="32" t="s">
        <v>2936</v>
      </c>
      <c r="E240" s="5">
        <f>IF('зведена (БАЛАНС) (2)'!E240&gt;'зведена (БАЛАНС) (2)'!F240,'зведена (БАЛАНС) (2)'!E240-'зведена (БАЛАНС) (2)'!F240,0)</f>
        <v>0</v>
      </c>
      <c r="F240" s="5">
        <f>IF('зведена (БАЛАНС) (2)'!F240&gt;'зведена (БАЛАНС) (2)'!E240,'зведена (БАЛАНС) (2)'!F240-'зведена (БАЛАНС) (2)'!E240,0)</f>
        <v>0</v>
      </c>
    </row>
    <row r="241" spans="1:6" x14ac:dyDescent="0.25">
      <c r="A241" s="33" t="s">
        <v>761</v>
      </c>
      <c r="B241" s="34" t="s">
        <v>4</v>
      </c>
      <c r="C241" s="18" t="s">
        <v>65</v>
      </c>
      <c r="D241" s="32" t="s">
        <v>896</v>
      </c>
      <c r="E241" s="5">
        <f>IF('зведена (БАЛАНС) (2)'!E241&gt;'зведена (БАЛАНС) (2)'!F241,'зведена (БАЛАНС) (2)'!E241-'зведена (БАЛАНС) (2)'!F241,0)</f>
        <v>0</v>
      </c>
      <c r="F241" s="5">
        <f>IF('зведена (БАЛАНС) (2)'!F241&gt;'зведена (БАЛАНС) (2)'!E241,'зведена (БАЛАНС) (2)'!F241-'зведена (БАЛАНС) (2)'!E241,0)</f>
        <v>0</v>
      </c>
    </row>
    <row r="242" spans="1:6" x14ac:dyDescent="0.25">
      <c r="A242" s="33" t="s">
        <v>761</v>
      </c>
      <c r="B242" s="34" t="s">
        <v>4</v>
      </c>
      <c r="C242" s="18" t="s">
        <v>66</v>
      </c>
      <c r="D242" s="32" t="s">
        <v>895</v>
      </c>
      <c r="E242" s="5">
        <f>IF('зведена (БАЛАНС) (2)'!E242&gt;'зведена (БАЛАНС) (2)'!F242,'зведена (БАЛАНС) (2)'!E242-'зведена (БАЛАНС) (2)'!F242,0)</f>
        <v>0</v>
      </c>
      <c r="F242" s="5">
        <f>IF('зведена (БАЛАНС) (2)'!F242&gt;'зведена (БАЛАНС) (2)'!E242,'зведена (БАЛАНС) (2)'!F242-'зведена (БАЛАНС) (2)'!E242,0)</f>
        <v>0</v>
      </c>
    </row>
    <row r="243" spans="1:6" x14ac:dyDescent="0.25">
      <c r="A243" s="33" t="s">
        <v>761</v>
      </c>
      <c r="B243" s="34" t="s">
        <v>4</v>
      </c>
      <c r="C243" s="30" t="s">
        <v>1322</v>
      </c>
      <c r="D243" s="32" t="s">
        <v>1324</v>
      </c>
      <c r="E243" s="5">
        <f>IF('зведена (БАЛАНС) (2)'!E243&gt;'зведена (БАЛАНС) (2)'!F243,'зведена (БАЛАНС) (2)'!E243-'зведена (БАЛАНС) (2)'!F243,0)</f>
        <v>0</v>
      </c>
      <c r="F243" s="5">
        <f>IF('зведена (БАЛАНС) (2)'!F243&gt;'зведена (БАЛАНС) (2)'!E243,'зведена (БАЛАНС) (2)'!F243-'зведена (БАЛАНС) (2)'!E243,0)</f>
        <v>0</v>
      </c>
    </row>
    <row r="244" spans="1:6" x14ac:dyDescent="0.25">
      <c r="A244" s="33" t="s">
        <v>761</v>
      </c>
      <c r="B244" s="34" t="s">
        <v>4</v>
      </c>
      <c r="C244" s="30" t="s">
        <v>1323</v>
      </c>
      <c r="D244" s="32" t="s">
        <v>1325</v>
      </c>
      <c r="E244" s="5">
        <f>IF('зведена (БАЛАНС) (2)'!E244&gt;'зведена (БАЛАНС) (2)'!F244,'зведена (БАЛАНС) (2)'!E244-'зведена (БАЛАНС) (2)'!F244,0)</f>
        <v>0</v>
      </c>
      <c r="F244" s="5">
        <f>IF('зведена (БАЛАНС) (2)'!F244&gt;'зведена (БАЛАНС) (2)'!E244,'зведена (БАЛАНС) (2)'!F244-'зведена (БАЛАНС) (2)'!E244,0)</f>
        <v>0</v>
      </c>
    </row>
    <row r="245" spans="1:6" x14ac:dyDescent="0.25">
      <c r="A245" s="19" t="s">
        <v>761</v>
      </c>
      <c r="B245" s="19" t="s">
        <v>28</v>
      </c>
      <c r="C245" s="19" t="s">
        <v>764</v>
      </c>
      <c r="D245" s="20" t="s">
        <v>2771</v>
      </c>
      <c r="E245" s="7">
        <f>SUM(E246:E291)</f>
        <v>580143.1</v>
      </c>
      <c r="F245" s="7">
        <f>SUM(F246:F291)</f>
        <v>967016.80000000016</v>
      </c>
    </row>
    <row r="246" spans="1:6" x14ac:dyDescent="0.25">
      <c r="A246" s="33" t="s">
        <v>761</v>
      </c>
      <c r="B246" s="34" t="s">
        <v>986</v>
      </c>
      <c r="C246" s="18" t="s">
        <v>970</v>
      </c>
      <c r="D246" s="32" t="s">
        <v>2937</v>
      </c>
      <c r="E246" s="5">
        <f>IF('зведена (БАЛАНС) (2)'!E246&gt;'зведена (БАЛАНС) (2)'!F246,'зведена (БАЛАНС) (2)'!E246-'зведена (БАЛАНС) (2)'!F246,0)</f>
        <v>0</v>
      </c>
      <c r="F246" s="5">
        <f>IF('зведена (БАЛАНС) (2)'!F246&gt;'зведена (БАЛАНС) (2)'!E246,'зведена (БАЛАНС) (2)'!F246-'зведена (БАЛАНС) (2)'!E246,0)</f>
        <v>0</v>
      </c>
    </row>
    <row r="247" spans="1:6" x14ac:dyDescent="0.25">
      <c r="A247" s="33" t="s">
        <v>761</v>
      </c>
      <c r="B247" s="34" t="s">
        <v>984</v>
      </c>
      <c r="C247" s="18" t="s">
        <v>67</v>
      </c>
      <c r="D247" s="32" t="s">
        <v>2938</v>
      </c>
      <c r="E247" s="5">
        <f>IF('зведена (БАЛАНС) (2)'!E247&gt;'зведена (БАЛАНС) (2)'!F247,'зведена (БАЛАНС) (2)'!E247-'зведена (БАЛАНС) (2)'!F247,0)</f>
        <v>0</v>
      </c>
      <c r="F247" s="5">
        <f>IF('зведена (БАЛАНС) (2)'!F247&gt;'зведена (БАЛАНС) (2)'!E247,'зведена (БАЛАНС) (2)'!F247-'зведена (БАЛАНС) (2)'!E247,0)</f>
        <v>0</v>
      </c>
    </row>
    <row r="248" spans="1:6" x14ac:dyDescent="0.25">
      <c r="A248" s="33" t="s">
        <v>761</v>
      </c>
      <c r="B248" s="34" t="s">
        <v>985</v>
      </c>
      <c r="C248" s="18" t="s">
        <v>68</v>
      </c>
      <c r="D248" s="32" t="s">
        <v>2933</v>
      </c>
      <c r="E248" s="5">
        <f>IF('зведена (БАЛАНС) (2)'!E248&gt;'зведена (БАЛАНС) (2)'!F248,'зведена (БАЛАНС) (2)'!E248-'зведена (БАЛАНС) (2)'!F248,0)</f>
        <v>0</v>
      </c>
      <c r="F248" s="5">
        <f>IF('зведена (БАЛАНС) (2)'!F248&gt;'зведена (БАЛАНС) (2)'!E248,'зведена (БАЛАНС) (2)'!F248-'зведена (БАЛАНС) (2)'!E248,0)</f>
        <v>12725.2</v>
      </c>
    </row>
    <row r="249" spans="1:6" x14ac:dyDescent="0.25">
      <c r="A249" s="33" t="s">
        <v>761</v>
      </c>
      <c r="B249" s="34" t="s">
        <v>983</v>
      </c>
      <c r="C249" s="18" t="s">
        <v>742</v>
      </c>
      <c r="D249" s="32" t="s">
        <v>2092</v>
      </c>
      <c r="E249" s="5">
        <f>IF('зведена (БАЛАНС) (2)'!E249&gt;'зведена (БАЛАНС) (2)'!F249,'зведена (БАЛАНС) (2)'!E249-'зведена (БАЛАНС) (2)'!F249,0)</f>
        <v>7365.8</v>
      </c>
      <c r="F249" s="5">
        <f>IF('зведена (БАЛАНС) (2)'!F249&gt;'зведена (БАЛАНС) (2)'!E249,'зведена (БАЛАНС) (2)'!F249-'зведена (БАЛАНС) (2)'!E249,0)</f>
        <v>0</v>
      </c>
    </row>
    <row r="250" spans="1:6" x14ac:dyDescent="0.25">
      <c r="A250" s="33" t="s">
        <v>761</v>
      </c>
      <c r="B250" s="34" t="s">
        <v>983</v>
      </c>
      <c r="C250" s="18" t="s">
        <v>743</v>
      </c>
      <c r="D250" s="32" t="s">
        <v>2939</v>
      </c>
      <c r="E250" s="5">
        <f>IF('зведена (БАЛАНС) (2)'!E250&gt;'зведена (БАЛАНС) (2)'!F250,'зведена (БАЛАНС) (2)'!E250-'зведена (БАЛАНС) (2)'!F250,0)</f>
        <v>8244.2999999999993</v>
      </c>
      <c r="F250" s="5">
        <f>IF('зведена (БАЛАНС) (2)'!F250&gt;'зведена (БАЛАНС) (2)'!E250,'зведена (БАЛАНС) (2)'!F250-'зведена (БАЛАНС) (2)'!E250,0)</f>
        <v>0</v>
      </c>
    </row>
    <row r="251" spans="1:6" x14ac:dyDescent="0.25">
      <c r="A251" s="33" t="s">
        <v>761</v>
      </c>
      <c r="B251" s="34" t="s">
        <v>984</v>
      </c>
      <c r="C251" s="18" t="s">
        <v>744</v>
      </c>
      <c r="D251" s="32" t="s">
        <v>2940</v>
      </c>
      <c r="E251" s="5">
        <f>IF('зведена (БАЛАНС) (2)'!E251&gt;'зведена (БАЛАНС) (2)'!F251,'зведена (БАЛАНС) (2)'!E251-'зведена (БАЛАНС) (2)'!F251,0)</f>
        <v>6649.1</v>
      </c>
      <c r="F251" s="5">
        <f>IF('зведена (БАЛАНС) (2)'!F251&gt;'зведена (БАЛАНС) (2)'!E251,'зведена (БАЛАНС) (2)'!F251-'зведена (БАЛАНС) (2)'!E251,0)</f>
        <v>0</v>
      </c>
    </row>
    <row r="252" spans="1:6" x14ac:dyDescent="0.25">
      <c r="A252" s="33" t="s">
        <v>761</v>
      </c>
      <c r="B252" s="34" t="s">
        <v>983</v>
      </c>
      <c r="C252" s="18" t="s">
        <v>745</v>
      </c>
      <c r="D252" s="32" t="s">
        <v>2941</v>
      </c>
      <c r="E252" s="5">
        <f>IF('зведена (БАЛАНС) (2)'!E252&gt;'зведена (БАЛАНС) (2)'!F252,'зведена (БАЛАНС) (2)'!E252-'зведена (БАЛАНС) (2)'!F252,0)</f>
        <v>0</v>
      </c>
      <c r="F252" s="5">
        <f>IF('зведена (БАЛАНС) (2)'!F252&gt;'зведена (БАЛАНС) (2)'!E252,'зведена (БАЛАНС) (2)'!F252-'зведена (БАЛАНС) (2)'!E252,0)</f>
        <v>25745</v>
      </c>
    </row>
    <row r="253" spans="1:6" x14ac:dyDescent="0.25">
      <c r="A253" s="33" t="s">
        <v>761</v>
      </c>
      <c r="B253" s="34" t="s">
        <v>984</v>
      </c>
      <c r="C253" s="18" t="s">
        <v>746</v>
      </c>
      <c r="D253" s="32" t="s">
        <v>2942</v>
      </c>
      <c r="E253" s="5">
        <f>IF('зведена (БАЛАНС) (2)'!E253&gt;'зведена (БАЛАНС) (2)'!F253,'зведена (БАЛАНС) (2)'!E253-'зведена (БАЛАНС) (2)'!F253,0)</f>
        <v>0</v>
      </c>
      <c r="F253" s="5">
        <f>IF('зведена (БАЛАНС) (2)'!F253&gt;'зведена (БАЛАНС) (2)'!E253,'зведена (БАЛАНС) (2)'!F253-'зведена (БАЛАНС) (2)'!E253,0)</f>
        <v>3206</v>
      </c>
    </row>
    <row r="254" spans="1:6" x14ac:dyDescent="0.25">
      <c r="A254" s="33" t="s">
        <v>761</v>
      </c>
      <c r="B254" s="34" t="s">
        <v>984</v>
      </c>
      <c r="C254" s="18" t="s">
        <v>747</v>
      </c>
      <c r="D254" s="32" t="s">
        <v>2943</v>
      </c>
      <c r="E254" s="5">
        <f>IF('зведена (БАЛАНС) (2)'!E254&gt;'зведена (БАЛАНС) (2)'!F254,'зведена (БАЛАНС) (2)'!E254-'зведена (БАЛАНС) (2)'!F254,0)</f>
        <v>1247.3</v>
      </c>
      <c r="F254" s="5">
        <f>IF('зведена (БАЛАНС) (2)'!F254&gt;'зведена (БАЛАНС) (2)'!E254,'зведена (БАЛАНС) (2)'!F254-'зведена (БАЛАНС) (2)'!E254,0)</f>
        <v>0</v>
      </c>
    </row>
    <row r="255" spans="1:6" x14ac:dyDescent="0.25">
      <c r="A255" s="35" t="s">
        <v>761</v>
      </c>
      <c r="B255" s="34" t="s">
        <v>985</v>
      </c>
      <c r="C255" s="30" t="s">
        <v>735</v>
      </c>
      <c r="D255" s="32" t="s">
        <v>1334</v>
      </c>
      <c r="E255" s="5">
        <f>IF('зведена (БАЛАНС) (2)'!E255&gt;'зведена (БАЛАНС) (2)'!F255,'зведена (БАЛАНС) (2)'!E255-'зведена (БАЛАНС) (2)'!F255,0)</f>
        <v>0</v>
      </c>
      <c r="F255" s="5">
        <f>IF('зведена (БАЛАНС) (2)'!F255&gt;'зведена (БАЛАНС) (2)'!E255,'зведена (БАЛАНС) (2)'!F255-'зведена (БАЛАНС) (2)'!E255,0)</f>
        <v>13894.1</v>
      </c>
    </row>
    <row r="256" spans="1:6" x14ac:dyDescent="0.25">
      <c r="A256" s="35" t="s">
        <v>761</v>
      </c>
      <c r="B256" s="34" t="s">
        <v>986</v>
      </c>
      <c r="C256" s="30" t="s">
        <v>975</v>
      </c>
      <c r="D256" s="32" t="s">
        <v>2944</v>
      </c>
      <c r="E256" s="5">
        <f>IF('зведена (БАЛАНС) (2)'!E256&gt;'зведена (БАЛАНС) (2)'!F256,'зведена (БАЛАНС) (2)'!E256-'зведена (БАЛАНС) (2)'!F256,0)</f>
        <v>0</v>
      </c>
      <c r="F256" s="5">
        <f>IF('зведена (БАЛАНС) (2)'!F256&gt;'зведена (БАЛАНС) (2)'!E256,'зведена (БАЛАНС) (2)'!F256-'зведена (БАЛАНС) (2)'!E256,0)</f>
        <v>0</v>
      </c>
    </row>
    <row r="257" spans="1:6" x14ac:dyDescent="0.25">
      <c r="A257" s="35" t="s">
        <v>761</v>
      </c>
      <c r="B257" s="34" t="s">
        <v>986</v>
      </c>
      <c r="C257" s="30" t="s">
        <v>1036</v>
      </c>
      <c r="D257" s="32" t="s">
        <v>2945</v>
      </c>
      <c r="E257" s="5">
        <f>IF('зведена (БАЛАНС) (2)'!E257&gt;'зведена (БАЛАНС) (2)'!F257,'зведена (БАЛАНС) (2)'!E257-'зведена (БАЛАНС) (2)'!F257,0)</f>
        <v>0</v>
      </c>
      <c r="F257" s="5">
        <f>IF('зведена (БАЛАНС) (2)'!F257&gt;'зведена (БАЛАНС) (2)'!E257,'зведена (БАЛАНС) (2)'!F257-'зведена (БАЛАНС) (2)'!E257,0)</f>
        <v>0</v>
      </c>
    </row>
    <row r="258" spans="1:6" x14ac:dyDescent="0.25">
      <c r="A258" s="35" t="s">
        <v>761</v>
      </c>
      <c r="B258" s="34" t="s">
        <v>984</v>
      </c>
      <c r="C258" s="30" t="s">
        <v>1037</v>
      </c>
      <c r="D258" s="32" t="s">
        <v>2946</v>
      </c>
      <c r="E258" s="5">
        <f>IF('зведена (БАЛАНС) (2)'!E258&gt;'зведена (БАЛАНС) (2)'!F258,'зведена (БАЛАНС) (2)'!E258-'зведена (БАЛАНС) (2)'!F258,0)</f>
        <v>0</v>
      </c>
      <c r="F258" s="5">
        <f>IF('зведена (БАЛАНС) (2)'!F258&gt;'зведена (БАЛАНС) (2)'!E258,'зведена (БАЛАНС) (2)'!F258-'зведена (БАЛАНС) (2)'!E258,0)</f>
        <v>548.70000000000005</v>
      </c>
    </row>
    <row r="259" spans="1:6" x14ac:dyDescent="0.25">
      <c r="A259" s="35" t="s">
        <v>761</v>
      </c>
      <c r="B259" s="34" t="s">
        <v>986</v>
      </c>
      <c r="C259" s="30" t="s">
        <v>1338</v>
      </c>
      <c r="D259" s="32" t="s">
        <v>1339</v>
      </c>
      <c r="E259" s="5">
        <f>IF('зведена (БАЛАНС) (2)'!E259&gt;'зведена (БАЛАНС) (2)'!F259,'зведена (БАЛАНС) (2)'!E259-'зведена (БАЛАНС) (2)'!F259,0)</f>
        <v>0</v>
      </c>
      <c r="F259" s="5">
        <f>IF('зведена (БАЛАНС) (2)'!F259&gt;'зведена (БАЛАНС) (2)'!E259,'зведена (БАЛАНС) (2)'!F259-'зведена (БАЛАНС) (2)'!E259,0)</f>
        <v>0</v>
      </c>
    </row>
    <row r="260" spans="1:6" x14ac:dyDescent="0.25">
      <c r="A260" s="35" t="s">
        <v>761</v>
      </c>
      <c r="B260" s="34" t="s">
        <v>983</v>
      </c>
      <c r="C260" s="30" t="s">
        <v>1340</v>
      </c>
      <c r="D260" s="32" t="s">
        <v>1341</v>
      </c>
      <c r="E260" s="5">
        <f>IF('зведена (БАЛАНС) (2)'!E260&gt;'зведена (БАЛАНС) (2)'!F260,'зведена (БАЛАНС) (2)'!E260-'зведена (БАЛАНС) (2)'!F260,0)</f>
        <v>0</v>
      </c>
      <c r="F260" s="5">
        <f>IF('зведена (БАЛАНС) (2)'!F260&gt;'зведена (БАЛАНС) (2)'!E260,'зведена (БАЛАНС) (2)'!F260-'зведена (БАЛАНС) (2)'!E260,0)</f>
        <v>14147.5</v>
      </c>
    </row>
    <row r="261" spans="1:6" ht="16.5" customHeight="1" x14ac:dyDescent="0.25">
      <c r="A261" s="35" t="s">
        <v>761</v>
      </c>
      <c r="B261" s="34" t="s">
        <v>985</v>
      </c>
      <c r="C261" s="30" t="s">
        <v>1342</v>
      </c>
      <c r="D261" s="32" t="s">
        <v>1343</v>
      </c>
      <c r="E261" s="5">
        <f>IF('зведена (БАЛАНС) (2)'!E261&gt;'зведена (БАЛАНС) (2)'!F261,'зведена (БАЛАНС) (2)'!E261-'зведена (БАЛАНС) (2)'!F261,0)</f>
        <v>0</v>
      </c>
      <c r="F261" s="5">
        <f>IF('зведена (БАЛАНС) (2)'!F261&gt;'зведена (БАЛАНС) (2)'!E261,'зведена (БАЛАНС) (2)'!F261-'зведена (БАЛАНС) (2)'!E261,0)</f>
        <v>26474.799999999999</v>
      </c>
    </row>
    <row r="262" spans="1:6" x14ac:dyDescent="0.25">
      <c r="A262" s="35" t="s">
        <v>761</v>
      </c>
      <c r="B262" s="34" t="s">
        <v>983</v>
      </c>
      <c r="C262" s="30" t="s">
        <v>1344</v>
      </c>
      <c r="D262" s="32" t="s">
        <v>1345</v>
      </c>
      <c r="E262" s="5">
        <f>IF('зведена (БАЛАНС) (2)'!E262&gt;'зведена (БАЛАНС) (2)'!F262,'зведена (БАЛАНС) (2)'!E262-'зведена (БАЛАНС) (2)'!F262,0)</f>
        <v>0</v>
      </c>
      <c r="F262" s="5">
        <f>IF('зведена (БАЛАНС) (2)'!F262&gt;'зведена (БАЛАНС) (2)'!E262,'зведена (БАЛАНС) (2)'!F262-'зведена (БАЛАНС) (2)'!E262,0)</f>
        <v>58596.800000000003</v>
      </c>
    </row>
    <row r="263" spans="1:6" x14ac:dyDescent="0.25">
      <c r="A263" s="35" t="s">
        <v>761</v>
      </c>
      <c r="B263" s="34" t="s">
        <v>985</v>
      </c>
      <c r="C263" s="30" t="s">
        <v>1346</v>
      </c>
      <c r="D263" s="32" t="s">
        <v>1347</v>
      </c>
      <c r="E263" s="5">
        <f>IF('зведена (БАЛАНС) (2)'!E263&gt;'зведена (БАЛАНС) (2)'!F263,'зведена (БАЛАНС) (2)'!E263-'зведена (БАЛАНС) (2)'!F263,0)</f>
        <v>0</v>
      </c>
      <c r="F263" s="5">
        <f>IF('зведена (БАЛАНС) (2)'!F263&gt;'зведена (БАЛАНС) (2)'!E263,'зведена (БАЛАНС) (2)'!F263-'зведена (БАЛАНС) (2)'!E263,0)</f>
        <v>12985.9</v>
      </c>
    </row>
    <row r="264" spans="1:6" s="28" customFormat="1" x14ac:dyDescent="0.25">
      <c r="A264" s="35" t="s">
        <v>761</v>
      </c>
      <c r="B264" s="34" t="s">
        <v>986</v>
      </c>
      <c r="C264" s="30" t="s">
        <v>1348</v>
      </c>
      <c r="D264" s="32" t="s">
        <v>1349</v>
      </c>
      <c r="E264" s="5">
        <f>IF('зведена (БАЛАНС) (2)'!E264&gt;'зведена (БАЛАНС) (2)'!F264,'зведена (БАЛАНС) (2)'!E264-'зведена (БАЛАНС) (2)'!F264,0)</f>
        <v>0</v>
      </c>
      <c r="F264" s="5">
        <f>IF('зведена (БАЛАНС) (2)'!F264&gt;'зведена (БАЛАНС) (2)'!E264,'зведена (БАЛАНС) (2)'!F264-'зведена (БАЛАНС) (2)'!E264,0)</f>
        <v>0</v>
      </c>
    </row>
    <row r="265" spans="1:6" s="28" customFormat="1" x14ac:dyDescent="0.25">
      <c r="A265" s="35" t="s">
        <v>761</v>
      </c>
      <c r="B265" s="34" t="s">
        <v>986</v>
      </c>
      <c r="C265" s="30" t="s">
        <v>1350</v>
      </c>
      <c r="D265" s="32" t="s">
        <v>1351</v>
      </c>
      <c r="E265" s="5">
        <f>IF('зведена (БАЛАНС) (2)'!E265&gt;'зведена (БАЛАНС) (2)'!F265,'зведена (БАЛАНС) (2)'!E265-'зведена (БАЛАНС) (2)'!F265,0)</f>
        <v>0</v>
      </c>
      <c r="F265" s="5">
        <f>IF('зведена (БАЛАНС) (2)'!F265&gt;'зведена (БАЛАНС) (2)'!E265,'зведена (БАЛАНС) (2)'!F265-'зведена (БАЛАНС) (2)'!E265,0)</f>
        <v>50547.9</v>
      </c>
    </row>
    <row r="266" spans="1:6" s="28" customFormat="1" x14ac:dyDescent="0.25">
      <c r="A266" s="35" t="s">
        <v>761</v>
      </c>
      <c r="B266" s="34" t="s">
        <v>984</v>
      </c>
      <c r="C266" s="30" t="s">
        <v>1352</v>
      </c>
      <c r="D266" s="32" t="s">
        <v>1353</v>
      </c>
      <c r="E266" s="5">
        <f>IF('зведена (БАЛАНС) (2)'!E266&gt;'зведена (БАЛАНС) (2)'!F266,'зведена (БАЛАНС) (2)'!E266-'зведена (БАЛАНС) (2)'!F266,0)</f>
        <v>0</v>
      </c>
      <c r="F266" s="5">
        <f>IF('зведена (БАЛАНС) (2)'!F266&gt;'зведена (БАЛАНС) (2)'!E266,'зведена (БАЛАНС) (2)'!F266-'зведена (БАЛАНС) (2)'!E266,0)</f>
        <v>17670.099999999999</v>
      </c>
    </row>
    <row r="267" spans="1:6" s="28" customFormat="1" x14ac:dyDescent="0.25">
      <c r="A267" s="35" t="s">
        <v>761</v>
      </c>
      <c r="B267" s="34" t="s">
        <v>984</v>
      </c>
      <c r="C267" s="30" t="s">
        <v>1354</v>
      </c>
      <c r="D267" s="32" t="s">
        <v>1355</v>
      </c>
      <c r="E267" s="5">
        <f>IF('зведена (БАЛАНС) (2)'!E267&gt;'зведена (БАЛАНС) (2)'!F267,'зведена (БАЛАНС) (2)'!E267-'зведена (БАЛАНС) (2)'!F267,0)</f>
        <v>0</v>
      </c>
      <c r="F267" s="5">
        <f>IF('зведена (БАЛАНС) (2)'!F267&gt;'зведена (БАЛАНС) (2)'!E267,'зведена (БАЛАНС) (2)'!F267-'зведена (БАЛАНС) (2)'!E267,0)</f>
        <v>11332.2</v>
      </c>
    </row>
    <row r="268" spans="1:6" s="28" customFormat="1" x14ac:dyDescent="0.25">
      <c r="A268" s="35" t="s">
        <v>761</v>
      </c>
      <c r="B268" s="34" t="s">
        <v>986</v>
      </c>
      <c r="C268" s="30" t="s">
        <v>1356</v>
      </c>
      <c r="D268" s="32" t="s">
        <v>1357</v>
      </c>
      <c r="E268" s="5">
        <f>IF('зведена (БАЛАНС) (2)'!E268&gt;'зведена (БАЛАНС) (2)'!F268,'зведена (БАЛАНС) (2)'!E268-'зведена (БАЛАНС) (2)'!F268,0)</f>
        <v>0</v>
      </c>
      <c r="F268" s="5">
        <f>IF('зведена (БАЛАНС) (2)'!F268&gt;'зведена (БАЛАНС) (2)'!E268,'зведена (БАЛАНС) (2)'!F268-'зведена (БАЛАНС) (2)'!E268,0)</f>
        <v>92328.9</v>
      </c>
    </row>
    <row r="269" spans="1:6" s="28" customFormat="1" x14ac:dyDescent="0.25">
      <c r="A269" s="35" t="s">
        <v>761</v>
      </c>
      <c r="B269" s="34" t="s">
        <v>986</v>
      </c>
      <c r="C269" s="30" t="s">
        <v>1358</v>
      </c>
      <c r="D269" s="32" t="s">
        <v>1359</v>
      </c>
      <c r="E269" s="5">
        <f>IF('зведена (БАЛАНС) (2)'!E269&gt;'зведена (БАЛАНС) (2)'!F269,'зведена (БАЛАНС) (2)'!E269-'зведена (БАЛАНС) (2)'!F269,0)</f>
        <v>6383.4</v>
      </c>
      <c r="F269" s="5">
        <f>IF('зведена (БАЛАНС) (2)'!F269&gt;'зведена (БАЛАНС) (2)'!E269,'зведена (БАЛАНС) (2)'!F269-'зведена (БАЛАНС) (2)'!E269,0)</f>
        <v>0</v>
      </c>
    </row>
    <row r="270" spans="1:6" s="28" customFormat="1" x14ac:dyDescent="0.25">
      <c r="A270" s="35" t="s">
        <v>761</v>
      </c>
      <c r="B270" s="34" t="s">
        <v>983</v>
      </c>
      <c r="C270" s="30" t="s">
        <v>1360</v>
      </c>
      <c r="D270" s="32" t="s">
        <v>1361</v>
      </c>
      <c r="E270" s="5">
        <f>IF('зведена (БАЛАНС) (2)'!E270&gt;'зведена (БАЛАНС) (2)'!F270,'зведена (БАЛАНС) (2)'!E270-'зведена (БАЛАНС) (2)'!F270,0)</f>
        <v>0</v>
      </c>
      <c r="F270" s="5">
        <f>IF('зведена (БАЛАНС) (2)'!F270&gt;'зведена (БАЛАНС) (2)'!E270,'зведена (БАЛАНС) (2)'!F270-'зведена (БАЛАНС) (2)'!E270,0)</f>
        <v>49006.7</v>
      </c>
    </row>
    <row r="271" spans="1:6" s="28" customFormat="1" x14ac:dyDescent="0.25">
      <c r="A271" s="35" t="s">
        <v>761</v>
      </c>
      <c r="B271" s="34" t="s">
        <v>985</v>
      </c>
      <c r="C271" s="30" t="s">
        <v>1362</v>
      </c>
      <c r="D271" s="32" t="s">
        <v>1363</v>
      </c>
      <c r="E271" s="5">
        <f>IF('зведена (БАЛАНС) (2)'!E271&gt;'зведена (БАЛАНС) (2)'!F271,'зведена (БАЛАНС) (2)'!E271-'зведена (БАЛАНС) (2)'!F271,0)</f>
        <v>0</v>
      </c>
      <c r="F271" s="5">
        <f>IF('зведена (БАЛАНС) (2)'!F271&gt;'зведена (БАЛАНС) (2)'!E271,'зведена (БАЛАНС) (2)'!F271-'зведена (БАЛАНС) (2)'!E271,0)</f>
        <v>41837.4</v>
      </c>
    </row>
    <row r="272" spans="1:6" s="28" customFormat="1" x14ac:dyDescent="0.25">
      <c r="A272" s="35" t="s">
        <v>761</v>
      </c>
      <c r="B272" s="34" t="s">
        <v>983</v>
      </c>
      <c r="C272" s="30" t="s">
        <v>1364</v>
      </c>
      <c r="D272" s="32" t="s">
        <v>1365</v>
      </c>
      <c r="E272" s="5">
        <f>IF('зведена (БАЛАНС) (2)'!E272&gt;'зведена (БАЛАНС) (2)'!F272,'зведена (БАЛАНС) (2)'!E272-'зведена (БАЛАНС) (2)'!F272,0)</f>
        <v>0</v>
      </c>
      <c r="F272" s="5">
        <f>IF('зведена (БАЛАНС) (2)'!F272&gt;'зведена (БАЛАНС) (2)'!E272,'зведена (БАЛАНС) (2)'!F272-'зведена (БАЛАНС) (2)'!E272,0)</f>
        <v>50328.6</v>
      </c>
    </row>
    <row r="273" spans="1:6" s="28" customFormat="1" x14ac:dyDescent="0.25">
      <c r="A273" s="35" t="s">
        <v>761</v>
      </c>
      <c r="B273" s="34" t="s">
        <v>986</v>
      </c>
      <c r="C273" s="30" t="s">
        <v>1366</v>
      </c>
      <c r="D273" s="32" t="s">
        <v>2826</v>
      </c>
      <c r="E273" s="5">
        <f>IF('зведена (БАЛАНС) (2)'!E273&gt;'зведена (БАЛАНС) (2)'!F273,'зведена (БАЛАНС) (2)'!E273-'зведена (БАЛАНС) (2)'!F273,0)</f>
        <v>435063.8</v>
      </c>
      <c r="F273" s="5">
        <f>IF('зведена (БАЛАНС) (2)'!F273&gt;'зведена (БАЛАНС) (2)'!E273,'зведена (БАЛАНС) (2)'!F273-'зведена (БАЛАНС) (2)'!E273,0)</f>
        <v>0</v>
      </c>
    </row>
    <row r="274" spans="1:6" s="28" customFormat="1" x14ac:dyDescent="0.25">
      <c r="A274" s="35" t="s">
        <v>761</v>
      </c>
      <c r="B274" s="34" t="s">
        <v>985</v>
      </c>
      <c r="C274" s="30" t="s">
        <v>1367</v>
      </c>
      <c r="D274" s="32" t="s">
        <v>1368</v>
      </c>
      <c r="E274" s="5">
        <f>IF('зведена (БАЛАНС) (2)'!E274&gt;'зведена (БАЛАНС) (2)'!F274,'зведена (БАЛАНС) (2)'!E274-'зведена (БАЛАНС) (2)'!F274,0)</f>
        <v>0</v>
      </c>
      <c r="F274" s="5">
        <f>IF('зведена (БАЛАНС) (2)'!F274&gt;'зведена (БАЛАНС) (2)'!E274,'зведена (БАЛАНС) (2)'!F274-'зведена (БАЛАНС) (2)'!E274,0)</f>
        <v>22549.8</v>
      </c>
    </row>
    <row r="275" spans="1:6" s="28" customFormat="1" x14ac:dyDescent="0.25">
      <c r="A275" s="35" t="s">
        <v>761</v>
      </c>
      <c r="B275" s="34" t="s">
        <v>986</v>
      </c>
      <c r="C275" s="30" t="s">
        <v>1369</v>
      </c>
      <c r="D275" s="32" t="s">
        <v>1370</v>
      </c>
      <c r="E275" s="5">
        <f>IF('зведена (БАЛАНС) (2)'!E275&gt;'зведена (БАЛАНС) (2)'!F275,'зведена (БАЛАНС) (2)'!E275-'зведена (БАЛАНС) (2)'!F275,0)</f>
        <v>0</v>
      </c>
      <c r="F275" s="5">
        <f>IF('зведена (БАЛАНС) (2)'!F275&gt;'зведена (БАЛАНС) (2)'!E275,'зведена (БАЛАНС) (2)'!F275-'зведена (БАЛАНС) (2)'!E275,0)</f>
        <v>7832.2</v>
      </c>
    </row>
    <row r="276" spans="1:6" s="28" customFormat="1" x14ac:dyDescent="0.25">
      <c r="A276" s="35" t="s">
        <v>761</v>
      </c>
      <c r="B276" s="34" t="s">
        <v>985</v>
      </c>
      <c r="C276" s="30" t="s">
        <v>1371</v>
      </c>
      <c r="D276" s="32" t="s">
        <v>1372</v>
      </c>
      <c r="E276" s="5">
        <f>IF('зведена (БАЛАНС) (2)'!E276&gt;'зведена (БАЛАНС) (2)'!F276,'зведена (БАЛАНС) (2)'!E276-'зведена (БАЛАНС) (2)'!F276,0)</f>
        <v>0</v>
      </c>
      <c r="F276" s="5">
        <f>IF('зведена (БАЛАНС) (2)'!F276&gt;'зведена (БАЛАНС) (2)'!E276,'зведена (БАЛАНС) (2)'!F276-'зведена (БАЛАНС) (2)'!E276,0)</f>
        <v>25929</v>
      </c>
    </row>
    <row r="277" spans="1:6" s="28" customFormat="1" x14ac:dyDescent="0.25">
      <c r="A277" s="35" t="s">
        <v>761</v>
      </c>
      <c r="B277" s="34" t="s">
        <v>986</v>
      </c>
      <c r="C277" s="30" t="s">
        <v>1373</v>
      </c>
      <c r="D277" s="32" t="s">
        <v>1374</v>
      </c>
      <c r="E277" s="5">
        <f>IF('зведена (БАЛАНС) (2)'!E277&gt;'зведена (БАЛАНС) (2)'!F277,'зведена (БАЛАНС) (2)'!E277-'зведена (БАЛАНС) (2)'!F277,0)</f>
        <v>0</v>
      </c>
      <c r="F277" s="5">
        <f>IF('зведена (БАЛАНС) (2)'!F277&gt;'зведена (БАЛАНС) (2)'!E277,'зведена (БАЛАНС) (2)'!F277-'зведена (БАЛАНС) (2)'!E277,0)</f>
        <v>3237.9</v>
      </c>
    </row>
    <row r="278" spans="1:6" s="28" customFormat="1" x14ac:dyDescent="0.25">
      <c r="A278" s="35" t="s">
        <v>761</v>
      </c>
      <c r="B278" s="34" t="s">
        <v>985</v>
      </c>
      <c r="C278" s="30" t="s">
        <v>1375</v>
      </c>
      <c r="D278" s="32" t="s">
        <v>1376</v>
      </c>
      <c r="E278" s="5">
        <f>IF('зведена (БАЛАНС) (2)'!E278&gt;'зведена (БАЛАНС) (2)'!F278,'зведена (БАЛАНС) (2)'!E278-'зведена (БАЛАНС) (2)'!F278,0)</f>
        <v>2695.7</v>
      </c>
      <c r="F278" s="5">
        <f>IF('зведена (БАЛАНС) (2)'!F278&gt;'зведена (БАЛАНС) (2)'!E278,'зведена (БАЛАНС) (2)'!F278-'зведена (БАЛАНС) (2)'!E278,0)</f>
        <v>0</v>
      </c>
    </row>
    <row r="279" spans="1:6" s="28" customFormat="1" x14ac:dyDescent="0.25">
      <c r="A279" s="35" t="s">
        <v>761</v>
      </c>
      <c r="B279" s="34" t="s">
        <v>985</v>
      </c>
      <c r="C279" s="30" t="s">
        <v>1377</v>
      </c>
      <c r="D279" s="32" t="s">
        <v>1378</v>
      </c>
      <c r="E279" s="5">
        <f>IF('зведена (БАЛАНС) (2)'!E279&gt;'зведена (БАЛАНС) (2)'!F279,'зведена (БАЛАНС) (2)'!E279-'зведена (БАЛАНС) (2)'!F279,0)</f>
        <v>0</v>
      </c>
      <c r="F279" s="5">
        <f>IF('зведена (БАЛАНС) (2)'!F279&gt;'зведена (БАЛАНС) (2)'!E279,'зведена (БАЛАНС) (2)'!F279-'зведена (БАЛАНС) (2)'!E279,0)</f>
        <v>17662.400000000001</v>
      </c>
    </row>
    <row r="280" spans="1:6" s="28" customFormat="1" x14ac:dyDescent="0.25">
      <c r="A280" s="35" t="s">
        <v>761</v>
      </c>
      <c r="B280" s="34" t="s">
        <v>985</v>
      </c>
      <c r="C280" s="30" t="s">
        <v>1379</v>
      </c>
      <c r="D280" s="32" t="s">
        <v>1380</v>
      </c>
      <c r="E280" s="5">
        <f>IF('зведена (БАЛАНС) (2)'!E280&gt;'зведена (БАЛАНС) (2)'!F280,'зведена (БАЛАНС) (2)'!E280-'зведена (БАЛАНС) (2)'!F280,0)</f>
        <v>0</v>
      </c>
      <c r="F280" s="5">
        <f>IF('зведена (БАЛАНС) (2)'!F280&gt;'зведена (БАЛАНС) (2)'!E280,'зведена (БАЛАНС) (2)'!F280-'зведена (БАЛАНС) (2)'!E280,0)</f>
        <v>52910.6</v>
      </c>
    </row>
    <row r="281" spans="1:6" s="28" customFormat="1" x14ac:dyDescent="0.25">
      <c r="A281" s="35" t="s">
        <v>761</v>
      </c>
      <c r="B281" s="34" t="s">
        <v>986</v>
      </c>
      <c r="C281" s="30" t="s">
        <v>1381</v>
      </c>
      <c r="D281" s="32" t="s">
        <v>1382</v>
      </c>
      <c r="E281" s="5">
        <f>IF('зведена (БАЛАНС) (2)'!E281&gt;'зведена (БАЛАНС) (2)'!F281,'зведена (БАЛАНС) (2)'!E281-'зведена (БАЛАНС) (2)'!F281,0)</f>
        <v>107253.8</v>
      </c>
      <c r="F281" s="5">
        <f>IF('зведена (БАЛАНС) (2)'!F281&gt;'зведена (БАЛАНС) (2)'!E281,'зведена (БАЛАНС) (2)'!F281-'зведена (БАЛАНС) (2)'!E281,0)</f>
        <v>0</v>
      </c>
    </row>
    <row r="282" spans="1:6" s="28" customFormat="1" x14ac:dyDescent="0.25">
      <c r="A282" s="35" t="s">
        <v>761</v>
      </c>
      <c r="B282" s="34" t="s">
        <v>985</v>
      </c>
      <c r="C282" s="30" t="s">
        <v>1383</v>
      </c>
      <c r="D282" s="32" t="s">
        <v>1384</v>
      </c>
      <c r="E282" s="5">
        <f>IF('зведена (БАЛАНС) (2)'!E282&gt;'зведена (БАЛАНС) (2)'!F282,'зведена (БАЛАНС) (2)'!E282-'зведена (БАЛАНС) (2)'!F282,0)</f>
        <v>0</v>
      </c>
      <c r="F282" s="5">
        <f>IF('зведена (БАЛАНС) (2)'!F282&gt;'зведена (БАЛАНС) (2)'!E282,'зведена (БАЛАНС) (2)'!F282-'зведена (БАЛАНС) (2)'!E282,0)</f>
        <v>46365.3</v>
      </c>
    </row>
    <row r="283" spans="1:6" s="28" customFormat="1" x14ac:dyDescent="0.25">
      <c r="A283" s="35" t="s">
        <v>761</v>
      </c>
      <c r="B283" s="34" t="s">
        <v>983</v>
      </c>
      <c r="C283" s="30" t="s">
        <v>1385</v>
      </c>
      <c r="D283" s="32" t="s">
        <v>1386</v>
      </c>
      <c r="E283" s="5">
        <f>IF('зведена (БАЛАНС) (2)'!E283&gt;'зведена (БАЛАНС) (2)'!F283,'зведена (БАЛАНС) (2)'!E283-'зведена (БАЛАНС) (2)'!F283,0)</f>
        <v>0</v>
      </c>
      <c r="F283" s="5">
        <f>IF('зведена (БАЛАНС) (2)'!F283&gt;'зведена (БАЛАНС) (2)'!E283,'зведена (БАЛАНС) (2)'!F283-'зведена (БАЛАНС) (2)'!E283,0)</f>
        <v>4079</v>
      </c>
    </row>
    <row r="284" spans="1:6" s="28" customFormat="1" x14ac:dyDescent="0.25">
      <c r="A284" s="35" t="s">
        <v>761</v>
      </c>
      <c r="B284" s="34" t="s">
        <v>983</v>
      </c>
      <c r="C284" s="30" t="s">
        <v>1387</v>
      </c>
      <c r="D284" s="32" t="s">
        <v>1388</v>
      </c>
      <c r="E284" s="5">
        <f>IF('зведена (БАЛАНС) (2)'!E284&gt;'зведена (БАЛАНС) (2)'!F284,'зведена (БАЛАНС) (2)'!E284-'зведена (БАЛАНС) (2)'!F284,0)</f>
        <v>0</v>
      </c>
      <c r="F284" s="5">
        <f>IF('зведена (БАЛАНС) (2)'!F284&gt;'зведена (БАЛАНС) (2)'!E284,'зведена (БАЛАНС) (2)'!F284-'зведена (БАЛАНС) (2)'!E284,0)</f>
        <v>21479.3</v>
      </c>
    </row>
    <row r="285" spans="1:6" s="28" customFormat="1" x14ac:dyDescent="0.25">
      <c r="A285" s="35" t="s">
        <v>761</v>
      </c>
      <c r="B285" s="34" t="s">
        <v>986</v>
      </c>
      <c r="C285" s="30" t="s">
        <v>1389</v>
      </c>
      <c r="D285" s="32" t="s">
        <v>1390</v>
      </c>
      <c r="E285" s="5">
        <f>IF('зведена (БАЛАНС) (2)'!E285&gt;'зведена (БАЛАНС) (2)'!F285,'зведена (БАЛАНС) (2)'!E285-'зведена (БАЛАНС) (2)'!F285,0)</f>
        <v>0</v>
      </c>
      <c r="F285" s="5">
        <f>IF('зведена (БАЛАНС) (2)'!F285&gt;'зведена (БАЛАНС) (2)'!E285,'зведена (БАЛАНС) (2)'!F285-'зведена (БАЛАНС) (2)'!E285,0)</f>
        <v>53712.1</v>
      </c>
    </row>
    <row r="286" spans="1:6" s="28" customFormat="1" x14ac:dyDescent="0.25">
      <c r="A286" s="35" t="s">
        <v>761</v>
      </c>
      <c r="B286" s="34" t="s">
        <v>986</v>
      </c>
      <c r="C286" s="30" t="s">
        <v>1391</v>
      </c>
      <c r="D286" s="32" t="s">
        <v>1392</v>
      </c>
      <c r="E286" s="5">
        <f>IF('зведена (БАЛАНС) (2)'!E286&gt;'зведена (БАЛАНС) (2)'!F286,'зведена (БАЛАНС) (2)'!E286-'зведена (БАЛАНС) (2)'!F286,0)</f>
        <v>0</v>
      </c>
      <c r="F286" s="5">
        <f>IF('зведена (БАЛАНС) (2)'!F286&gt;'зведена (БАЛАНС) (2)'!E286,'зведена (БАЛАНС) (2)'!F286-'зведена (БАЛАНС) (2)'!E286,0)</f>
        <v>106090.4</v>
      </c>
    </row>
    <row r="287" spans="1:6" s="28" customFormat="1" x14ac:dyDescent="0.25">
      <c r="A287" s="35" t="s">
        <v>761</v>
      </c>
      <c r="B287" s="34" t="s">
        <v>984</v>
      </c>
      <c r="C287" s="30" t="s">
        <v>1393</v>
      </c>
      <c r="D287" s="32" t="s">
        <v>1394</v>
      </c>
      <c r="E287" s="5">
        <f>IF('зведена (БАЛАНС) (2)'!E287&gt;'зведена (БАЛАНС) (2)'!F287,'зведена (БАЛАНС) (2)'!E287-'зведена (БАЛАНС) (2)'!F287,0)</f>
        <v>0</v>
      </c>
      <c r="F287" s="5">
        <f>IF('зведена (БАЛАНС) (2)'!F287&gt;'зведена (БАЛАНС) (2)'!E287,'зведена (БАЛАНС) (2)'!F287-'зведена (БАЛАНС) (2)'!E287,0)</f>
        <v>19842.599999999999</v>
      </c>
    </row>
    <row r="288" spans="1:6" s="28" customFormat="1" x14ac:dyDescent="0.25">
      <c r="A288" s="35" t="s">
        <v>761</v>
      </c>
      <c r="B288" s="34" t="s">
        <v>986</v>
      </c>
      <c r="C288" s="30" t="s">
        <v>1395</v>
      </c>
      <c r="D288" s="32" t="s">
        <v>1396</v>
      </c>
      <c r="E288" s="5">
        <f>IF('зведена (БАЛАНС) (2)'!E288&gt;'зведена (БАЛАНС) (2)'!F288,'зведена (БАЛАНС) (2)'!E288-'зведена (БАЛАНС) (2)'!F288,0)</f>
        <v>0</v>
      </c>
      <c r="F288" s="5">
        <f>IF('зведена (БАЛАНС) (2)'!F288&gt;'зведена (БАЛАНС) (2)'!E288,'зведена (БАЛАНС) (2)'!F288-'зведена (БАЛАНС) (2)'!E288,0)</f>
        <v>77042.899999999994</v>
      </c>
    </row>
    <row r="289" spans="1:6" s="28" customFormat="1" x14ac:dyDescent="0.25">
      <c r="A289" s="35" t="s">
        <v>761</v>
      </c>
      <c r="B289" s="34" t="s">
        <v>985</v>
      </c>
      <c r="C289" s="30" t="s">
        <v>1397</v>
      </c>
      <c r="D289" s="32" t="s">
        <v>1398</v>
      </c>
      <c r="E289" s="5">
        <f>IF('зведена (БАЛАНС) (2)'!E289&gt;'зведена (БАЛАНС) (2)'!F289,'зведена (БАЛАНС) (2)'!E289-'зведена (БАЛАНС) (2)'!F289,0)</f>
        <v>5239.8999999999996</v>
      </c>
      <c r="F289" s="5">
        <f>IF('зведена (БАЛАНС) (2)'!F289&gt;'зведена (БАЛАНС) (2)'!E289,'зведена (БАЛАНС) (2)'!F289-'зведена (БАЛАНС) (2)'!E289,0)</f>
        <v>0</v>
      </c>
    </row>
    <row r="290" spans="1:6" s="28" customFormat="1" x14ac:dyDescent="0.25">
      <c r="A290" s="35" t="s">
        <v>761</v>
      </c>
      <c r="B290" s="34" t="s">
        <v>984</v>
      </c>
      <c r="C290" s="30" t="s">
        <v>1399</v>
      </c>
      <c r="D290" s="32" t="s">
        <v>1400</v>
      </c>
      <c r="E290" s="5">
        <f>IF('зведена (БАЛАНС) (2)'!E290&gt;'зведена (БАЛАНС) (2)'!F290,'зведена (БАЛАНС) (2)'!E290-'зведена (БАЛАНС) (2)'!F290,0)</f>
        <v>0</v>
      </c>
      <c r="F290" s="5">
        <f>IF('зведена (БАЛАНС) (2)'!F290&gt;'зведена (БАЛАНС) (2)'!E290,'зведена (БАЛАНС) (2)'!F290-'зведена (БАЛАНС) (2)'!E290,0)</f>
        <v>9568.4</v>
      </c>
    </row>
    <row r="291" spans="1:6" s="28" customFormat="1" x14ac:dyDescent="0.25">
      <c r="A291" s="35" t="s">
        <v>761</v>
      </c>
      <c r="B291" s="34" t="s">
        <v>983</v>
      </c>
      <c r="C291" s="30" t="s">
        <v>1401</v>
      </c>
      <c r="D291" s="32" t="s">
        <v>1402</v>
      </c>
      <c r="E291" s="5">
        <f>IF('зведена (БАЛАНС) (2)'!E291&gt;'зведена (БАЛАНС) (2)'!F291,'зведена (БАЛАНС) (2)'!E291-'зведена (БАЛАНС) (2)'!F291,0)</f>
        <v>0</v>
      </c>
      <c r="F291" s="5">
        <f>IF('зведена (БАЛАНС) (2)'!F291&gt;'зведена (БАЛАНС) (2)'!E291,'зведена (БАЛАНС) (2)'!F291-'зведена (БАЛАНС) (2)'!E291,0)</f>
        <v>17339.099999999999</v>
      </c>
    </row>
    <row r="292" spans="1:6" s="28" customFormat="1" x14ac:dyDescent="0.25">
      <c r="A292" s="17" t="s">
        <v>765</v>
      </c>
      <c r="B292" s="17" t="s">
        <v>7</v>
      </c>
      <c r="C292" s="17" t="s">
        <v>766</v>
      </c>
      <c r="D292" s="11" t="s">
        <v>841</v>
      </c>
      <c r="E292" s="11">
        <f>E293+E294+E299</f>
        <v>214805</v>
      </c>
      <c r="F292" s="11">
        <f>F293+F294+F299</f>
        <v>512743.99999999994</v>
      </c>
    </row>
    <row r="293" spans="1:6" s="28" customFormat="1" x14ac:dyDescent="0.25">
      <c r="A293" s="33" t="s">
        <v>765</v>
      </c>
      <c r="B293" s="34" t="s">
        <v>6</v>
      </c>
      <c r="C293" s="18" t="s">
        <v>69</v>
      </c>
      <c r="D293" s="32" t="s">
        <v>842</v>
      </c>
      <c r="E293" s="5">
        <f>IF('зведена (БАЛАНС) (2)'!E293&gt;'зведена (БАЛАНС) (2)'!F293,'зведена (БАЛАНС) (2)'!E293-'зведена (БАЛАНС) (2)'!F293,0)</f>
        <v>0</v>
      </c>
      <c r="F293" s="5">
        <f>IF('зведена (БАЛАНС) (2)'!F293&gt;'зведена (БАЛАНС) (2)'!E293,'зведена (БАЛАНС) (2)'!F293-'зведена (БАЛАНС) (2)'!E293,0)</f>
        <v>49723.4</v>
      </c>
    </row>
    <row r="294" spans="1:6" s="28" customFormat="1" x14ac:dyDescent="0.25">
      <c r="A294" s="19" t="s">
        <v>765</v>
      </c>
      <c r="B294" s="19" t="s">
        <v>5</v>
      </c>
      <c r="C294" s="19" t="s">
        <v>767</v>
      </c>
      <c r="D294" s="7" t="s">
        <v>2797</v>
      </c>
      <c r="E294" s="7">
        <f>SUM(E295:E298)</f>
        <v>0</v>
      </c>
      <c r="F294" s="7">
        <f>SUM(F295:F298)</f>
        <v>0</v>
      </c>
    </row>
    <row r="295" spans="1:6" s="28" customFormat="1" x14ac:dyDescent="0.25">
      <c r="A295" s="33" t="s">
        <v>765</v>
      </c>
      <c r="B295" s="34" t="s">
        <v>4</v>
      </c>
      <c r="C295" s="18" t="s">
        <v>70</v>
      </c>
      <c r="D295" s="32" t="s">
        <v>2798</v>
      </c>
      <c r="E295" s="5">
        <f>IF('зведена (БАЛАНС) (2)'!E295&gt;'зведена (БАЛАНС) (2)'!F295,'зведена (БАЛАНС) (2)'!E295-'зведена (БАЛАНС) (2)'!F295,0)</f>
        <v>0</v>
      </c>
      <c r="F295" s="5">
        <f>IF('зведена (БАЛАНС) (2)'!F295&gt;'зведена (БАЛАНС) (2)'!E295,'зведена (БАЛАНС) (2)'!F295-'зведена (БАЛАНС) (2)'!E295,0)</f>
        <v>0</v>
      </c>
    </row>
    <row r="296" spans="1:6" s="28" customFormat="1" x14ac:dyDescent="0.25">
      <c r="A296" s="33" t="s">
        <v>765</v>
      </c>
      <c r="B296" s="34" t="s">
        <v>4</v>
      </c>
      <c r="C296" s="18" t="s">
        <v>71</v>
      </c>
      <c r="D296" s="32" t="s">
        <v>897</v>
      </c>
      <c r="E296" s="5">
        <f>IF('зведена (БАЛАНС) (2)'!E296&gt;'зведена (БАЛАНС) (2)'!F296,'зведена (БАЛАНС) (2)'!E296-'зведена (БАЛАНС) (2)'!F296,0)</f>
        <v>0</v>
      </c>
      <c r="F296" s="5">
        <f>IF('зведена (БАЛАНС) (2)'!F296&gt;'зведена (БАЛАНС) (2)'!E296,'зведена (БАЛАНС) (2)'!F296-'зведена (БАЛАНС) (2)'!E296,0)</f>
        <v>0</v>
      </c>
    </row>
    <row r="297" spans="1:6" s="28" customFormat="1" x14ac:dyDescent="0.25">
      <c r="A297" s="33" t="s">
        <v>765</v>
      </c>
      <c r="B297" s="34" t="s">
        <v>4</v>
      </c>
      <c r="C297" s="18" t="s">
        <v>72</v>
      </c>
      <c r="D297" s="32" t="s">
        <v>898</v>
      </c>
      <c r="E297" s="5">
        <f>IF('зведена (БАЛАНС) (2)'!E297&gt;'зведена (БАЛАНС) (2)'!F297,'зведена (БАЛАНС) (2)'!E297-'зведена (БАЛАНС) (2)'!F297,0)</f>
        <v>0</v>
      </c>
      <c r="F297" s="5">
        <f>IF('зведена (БАЛАНС) (2)'!F297&gt;'зведена (БАЛАНС) (2)'!E297,'зведена (БАЛАНС) (2)'!F297-'зведена (БАЛАНС) (2)'!E297,0)</f>
        <v>0</v>
      </c>
    </row>
    <row r="298" spans="1:6" s="28" customFormat="1" x14ac:dyDescent="0.25">
      <c r="A298" s="33" t="s">
        <v>765</v>
      </c>
      <c r="B298" s="34" t="s">
        <v>4</v>
      </c>
      <c r="C298" s="18" t="s">
        <v>73</v>
      </c>
      <c r="D298" s="32" t="s">
        <v>899</v>
      </c>
      <c r="E298" s="5">
        <f>IF('зведена (БАЛАНС) (2)'!E298&gt;'зведена (БАЛАНС) (2)'!F298,'зведена (БАЛАНС) (2)'!E298-'зведена (БАЛАНС) (2)'!F298,0)</f>
        <v>0</v>
      </c>
      <c r="F298" s="5">
        <f>IF('зведена (БАЛАНС) (2)'!F298&gt;'зведена (БАЛАНС) (2)'!E298,'зведена (БАЛАНС) (2)'!F298-'зведена (БАЛАНС) (2)'!E298,0)</f>
        <v>0</v>
      </c>
    </row>
    <row r="299" spans="1:6" s="28" customFormat="1" x14ac:dyDescent="0.25">
      <c r="A299" s="19" t="s">
        <v>765</v>
      </c>
      <c r="B299" s="19" t="s">
        <v>28</v>
      </c>
      <c r="C299" s="19" t="s">
        <v>768</v>
      </c>
      <c r="D299" s="20" t="s">
        <v>2772</v>
      </c>
      <c r="E299" s="7">
        <f>SUM(E300:E365)</f>
        <v>214805</v>
      </c>
      <c r="F299" s="7">
        <f>SUM(F300:F365)</f>
        <v>463020.59999999992</v>
      </c>
    </row>
    <row r="300" spans="1:6" s="28" customFormat="1" x14ac:dyDescent="0.25">
      <c r="A300" s="33" t="s">
        <v>765</v>
      </c>
      <c r="B300" s="34" t="s">
        <v>984</v>
      </c>
      <c r="C300" s="18" t="s">
        <v>74</v>
      </c>
      <c r="D300" s="32" t="s">
        <v>1403</v>
      </c>
      <c r="E300" s="5">
        <f>IF('зведена (БАЛАНС) (2)'!E300&gt;'зведена (БАЛАНС) (2)'!F300,'зведена (БАЛАНС) (2)'!E300-'зведена (БАЛАНС) (2)'!F300,0)</f>
        <v>0</v>
      </c>
      <c r="F300" s="5">
        <f>IF('зведена (БАЛАНС) (2)'!F300&gt;'зведена (БАЛАНС) (2)'!E300,'зведена (БАЛАНС) (2)'!F300-'зведена (БАЛАНС) (2)'!E300,0)</f>
        <v>1037.4000000000001</v>
      </c>
    </row>
    <row r="301" spans="1:6" s="28" customFormat="1" x14ac:dyDescent="0.25">
      <c r="A301" s="33" t="s">
        <v>765</v>
      </c>
      <c r="B301" s="34" t="s">
        <v>984</v>
      </c>
      <c r="C301" s="18" t="s">
        <v>75</v>
      </c>
      <c r="D301" s="32" t="s">
        <v>1404</v>
      </c>
      <c r="E301" s="5">
        <f>IF('зведена (БАЛАНС) (2)'!E301&gt;'зведена (БАЛАНС) (2)'!F301,'зведена (БАЛАНС) (2)'!E301-'зведена (БАЛАНС) (2)'!F301,0)</f>
        <v>0</v>
      </c>
      <c r="F301" s="5">
        <f>IF('зведена (БАЛАНС) (2)'!F301&gt;'зведена (БАЛАНС) (2)'!E301,'зведена (БАЛАНС) (2)'!F301-'зведена (БАЛАНС) (2)'!E301,0)</f>
        <v>2525.3000000000002</v>
      </c>
    </row>
    <row r="302" spans="1:6" s="28" customFormat="1" x14ac:dyDescent="0.25">
      <c r="A302" s="33" t="s">
        <v>765</v>
      </c>
      <c r="B302" s="34" t="s">
        <v>984</v>
      </c>
      <c r="C302" s="18" t="s">
        <v>76</v>
      </c>
      <c r="D302" s="32" t="s">
        <v>1405</v>
      </c>
      <c r="E302" s="5">
        <f>IF('зведена (БАЛАНС) (2)'!E302&gt;'зведена (БАЛАНС) (2)'!F302,'зведена (БАЛАНС) (2)'!E302-'зведена (БАЛАНС) (2)'!F302,0)</f>
        <v>0</v>
      </c>
      <c r="F302" s="5">
        <f>IF('зведена (БАЛАНС) (2)'!F302&gt;'зведена (БАЛАНС) (2)'!E302,'зведена (БАЛАНС) (2)'!F302-'зведена (БАЛАНС) (2)'!E302,0)</f>
        <v>4961.5</v>
      </c>
    </row>
    <row r="303" spans="1:6" s="28" customFormat="1" x14ac:dyDescent="0.25">
      <c r="A303" s="33" t="s">
        <v>765</v>
      </c>
      <c r="B303" s="34" t="s">
        <v>985</v>
      </c>
      <c r="C303" s="18" t="s">
        <v>77</v>
      </c>
      <c r="D303" s="32" t="s">
        <v>1406</v>
      </c>
      <c r="E303" s="5">
        <f>IF('зведена (БАЛАНС) (2)'!E303&gt;'зведена (БАЛАНС) (2)'!F303,'зведена (БАЛАНС) (2)'!E303-'зведена (БАЛАНС) (2)'!F303,0)</f>
        <v>1044</v>
      </c>
      <c r="F303" s="5">
        <f>IF('зведена (БАЛАНС) (2)'!F303&gt;'зведена (БАЛАНС) (2)'!E303,'зведена (БАЛАНС) (2)'!F303-'зведена (БАЛАНС) (2)'!E303,0)</f>
        <v>0</v>
      </c>
    </row>
    <row r="304" spans="1:6" s="28" customFormat="1" x14ac:dyDescent="0.25">
      <c r="A304" s="33" t="s">
        <v>765</v>
      </c>
      <c r="B304" s="34" t="s">
        <v>985</v>
      </c>
      <c r="C304" s="18" t="s">
        <v>78</v>
      </c>
      <c r="D304" s="32" t="s">
        <v>1407</v>
      </c>
      <c r="E304" s="5">
        <f>IF('зведена (БАЛАНС) (2)'!E304&gt;'зведена (БАЛАНС) (2)'!F304,'зведена (БАЛАНС) (2)'!E304-'зведена (БАЛАНС) (2)'!F304,0)</f>
        <v>0</v>
      </c>
      <c r="F304" s="5">
        <f>IF('зведена (БАЛАНС) (2)'!F304&gt;'зведена (БАЛАНС) (2)'!E304,'зведена (БАЛАНС) (2)'!F304-'зведена (БАЛАНС) (2)'!E304,0)</f>
        <v>6427</v>
      </c>
    </row>
    <row r="305" spans="1:6" s="28" customFormat="1" x14ac:dyDescent="0.25">
      <c r="A305" s="33" t="s">
        <v>765</v>
      </c>
      <c r="B305" s="34" t="s">
        <v>985</v>
      </c>
      <c r="C305" s="18" t="s">
        <v>226</v>
      </c>
      <c r="D305" s="32" t="s">
        <v>1408</v>
      </c>
      <c r="E305" s="5">
        <f>IF('зведена (БАЛАНС) (2)'!E305&gt;'зведена (БАЛАНС) (2)'!F305,'зведена (БАЛАНС) (2)'!E305-'зведена (БАЛАНС) (2)'!F305,0)</f>
        <v>0</v>
      </c>
      <c r="F305" s="5">
        <f>IF('зведена (БАЛАНС) (2)'!F305&gt;'зведена (БАЛАНС) (2)'!E305,'зведена (БАЛАНС) (2)'!F305-'зведена (БАЛАНС) (2)'!E305,0)</f>
        <v>11073.1</v>
      </c>
    </row>
    <row r="306" spans="1:6" x14ac:dyDescent="0.25">
      <c r="A306" s="33" t="s">
        <v>765</v>
      </c>
      <c r="B306" s="34" t="s">
        <v>984</v>
      </c>
      <c r="C306" s="18" t="s">
        <v>227</v>
      </c>
      <c r="D306" s="32" t="s">
        <v>1409</v>
      </c>
      <c r="E306" s="5">
        <f>IF('зведена (БАЛАНС) (2)'!E306&gt;'зведена (БАЛАНС) (2)'!F306,'зведена (БАЛАНС) (2)'!E306-'зведена (БАЛАНС) (2)'!F306,0)</f>
        <v>0</v>
      </c>
      <c r="F306" s="5">
        <f>IF('зведена (БАЛАНС) (2)'!F306&gt;'зведена (БАЛАНС) (2)'!E306,'зведена (БАЛАНС) (2)'!F306-'зведена (БАЛАНС) (2)'!E306,0)</f>
        <v>4382.6000000000004</v>
      </c>
    </row>
    <row r="307" spans="1:6" x14ac:dyDescent="0.25">
      <c r="A307" s="33" t="s">
        <v>765</v>
      </c>
      <c r="B307" s="34" t="s">
        <v>984</v>
      </c>
      <c r="C307" s="18" t="s">
        <v>228</v>
      </c>
      <c r="D307" s="32" t="s">
        <v>1410</v>
      </c>
      <c r="E307" s="5">
        <f>IF('зведена (БАЛАНС) (2)'!E307&gt;'зведена (БАЛАНС) (2)'!F307,'зведена (БАЛАНС) (2)'!E307-'зведена (БАЛАНС) (2)'!F307,0)</f>
        <v>0</v>
      </c>
      <c r="F307" s="5">
        <f>IF('зведена (БАЛАНС) (2)'!F307&gt;'зведена (БАЛАНС) (2)'!E307,'зведена (БАЛАНС) (2)'!F307-'зведена (БАЛАНС) (2)'!E307,0)</f>
        <v>5149.2</v>
      </c>
    </row>
    <row r="308" spans="1:6" x14ac:dyDescent="0.25">
      <c r="A308" s="33" t="s">
        <v>765</v>
      </c>
      <c r="B308" s="34" t="s">
        <v>985</v>
      </c>
      <c r="C308" s="18" t="s">
        <v>229</v>
      </c>
      <c r="D308" s="32" t="s">
        <v>1411</v>
      </c>
      <c r="E308" s="5">
        <f>IF('зведена (БАЛАНС) (2)'!E308&gt;'зведена (БАЛАНС) (2)'!F308,'зведена (БАЛАНС) (2)'!E308-'зведена (БАЛАНС) (2)'!F308,0)</f>
        <v>0</v>
      </c>
      <c r="F308" s="5">
        <f>IF('зведена (БАЛАНС) (2)'!F308&gt;'зведена (БАЛАНС) (2)'!E308,'зведена (БАЛАНС) (2)'!F308-'зведена (БАЛАНС) (2)'!E308,0)</f>
        <v>7775</v>
      </c>
    </row>
    <row r="309" spans="1:6" x14ac:dyDescent="0.25">
      <c r="A309" s="33" t="s">
        <v>765</v>
      </c>
      <c r="B309" s="34" t="s">
        <v>985</v>
      </c>
      <c r="C309" s="18" t="s">
        <v>283</v>
      </c>
      <c r="D309" s="32" t="s">
        <v>1412</v>
      </c>
      <c r="E309" s="5">
        <f>IF('зведена (БАЛАНС) (2)'!E309&gt;'зведена (БАЛАНС) (2)'!F309,'зведена (БАЛАНС) (2)'!E309-'зведена (БАЛАНС) (2)'!F309,0)</f>
        <v>0</v>
      </c>
      <c r="F309" s="5">
        <f>IF('зведена (БАЛАНС) (2)'!F309&gt;'зведена (БАЛАНС) (2)'!E309,'зведена (БАЛАНС) (2)'!F309-'зведена (БАЛАНС) (2)'!E309,0)</f>
        <v>6480.4</v>
      </c>
    </row>
    <row r="310" spans="1:6" x14ac:dyDescent="0.25">
      <c r="A310" s="33" t="s">
        <v>765</v>
      </c>
      <c r="B310" s="34" t="s">
        <v>983</v>
      </c>
      <c r="C310" s="18" t="s">
        <v>341</v>
      </c>
      <c r="D310" s="32" t="s">
        <v>1413</v>
      </c>
      <c r="E310" s="5">
        <f>IF('зведена (БАЛАНС) (2)'!E310&gt;'зведена (БАЛАНС) (2)'!F310,'зведена (БАЛАНС) (2)'!E310-'зведена (БАЛАНС) (2)'!F310,0)</f>
        <v>0</v>
      </c>
      <c r="F310" s="5">
        <f>IF('зведена (БАЛАНС) (2)'!F310&gt;'зведена (БАЛАНС) (2)'!E310,'зведена (БАЛАНС) (2)'!F310-'зведена (БАЛАНС) (2)'!E310,0)</f>
        <v>25231.1</v>
      </c>
    </row>
    <row r="311" spans="1:6" x14ac:dyDescent="0.25">
      <c r="A311" s="33" t="s">
        <v>765</v>
      </c>
      <c r="B311" s="34" t="s">
        <v>983</v>
      </c>
      <c r="C311" s="18" t="s">
        <v>342</v>
      </c>
      <c r="D311" s="32" t="s">
        <v>1414</v>
      </c>
      <c r="E311" s="5">
        <f>IF('зведена (БАЛАНС) (2)'!E311&gt;'зведена (БАЛАНС) (2)'!F311,'зведена (БАЛАНС) (2)'!E311-'зведена (БАЛАНС) (2)'!F311,0)</f>
        <v>0</v>
      </c>
      <c r="F311" s="5">
        <f>IF('зведена (БАЛАНС) (2)'!F311&gt;'зведена (БАЛАНС) (2)'!E311,'зведена (БАЛАНС) (2)'!F311-'зведена (БАЛАНС) (2)'!E311,0)</f>
        <v>25581.3</v>
      </c>
    </row>
    <row r="312" spans="1:6" s="29" customFormat="1" x14ac:dyDescent="0.25">
      <c r="A312" s="33" t="s">
        <v>765</v>
      </c>
      <c r="B312" s="34" t="s">
        <v>983</v>
      </c>
      <c r="C312" s="18" t="s">
        <v>343</v>
      </c>
      <c r="D312" s="32" t="s">
        <v>1415</v>
      </c>
      <c r="E312" s="5">
        <f>IF('зведена (БАЛАНС) (2)'!E312&gt;'зведена (БАЛАНС) (2)'!F312,'зведена (БАЛАНС) (2)'!E312-'зведена (БАЛАНС) (2)'!F312,0)</f>
        <v>0</v>
      </c>
      <c r="F312" s="5">
        <f>IF('зведена (БАЛАНС) (2)'!F312&gt;'зведена (БАЛАНС) (2)'!E312,'зведена (БАЛАНС) (2)'!F312-'зведена (БАЛАНС) (2)'!E312,0)</f>
        <v>38408.199999999997</v>
      </c>
    </row>
    <row r="313" spans="1:6" s="29" customFormat="1" x14ac:dyDescent="0.25">
      <c r="A313" s="33" t="s">
        <v>765</v>
      </c>
      <c r="B313" s="34" t="s">
        <v>985</v>
      </c>
      <c r="C313" s="18" t="s">
        <v>344</v>
      </c>
      <c r="D313" s="32" t="s">
        <v>1416</v>
      </c>
      <c r="E313" s="5">
        <f>IF('зведена (БАЛАНС) (2)'!E313&gt;'зведена (БАЛАНС) (2)'!F313,'зведена (БАЛАНС) (2)'!E313-'зведена (БАЛАНС) (2)'!F313,0)</f>
        <v>0</v>
      </c>
      <c r="F313" s="5">
        <f>IF('зведена (БАЛАНС) (2)'!F313&gt;'зведена (БАЛАНС) (2)'!E313,'зведена (БАЛАНС) (2)'!F313-'зведена (БАЛАНС) (2)'!E313,0)</f>
        <v>3756.2</v>
      </c>
    </row>
    <row r="314" spans="1:6" s="29" customFormat="1" x14ac:dyDescent="0.25">
      <c r="A314" s="33" t="s">
        <v>765</v>
      </c>
      <c r="B314" s="34" t="s">
        <v>985</v>
      </c>
      <c r="C314" s="18" t="s">
        <v>345</v>
      </c>
      <c r="D314" s="32" t="s">
        <v>2947</v>
      </c>
      <c r="E314" s="5">
        <f>IF('зведена (БАЛАНС) (2)'!E314&gt;'зведена (БАЛАНС) (2)'!F314,'зведена (БАЛАНС) (2)'!E314-'зведена (БАЛАНС) (2)'!F314,0)</f>
        <v>0</v>
      </c>
      <c r="F314" s="5">
        <f>IF('зведена (БАЛАНС) (2)'!F314&gt;'зведена (БАЛАНС) (2)'!E314,'зведена (БАЛАНС) (2)'!F314-'зведена (БАЛАНС) (2)'!E314,0)</f>
        <v>12952.3</v>
      </c>
    </row>
    <row r="315" spans="1:6" s="29" customFormat="1" x14ac:dyDescent="0.25">
      <c r="A315" s="33" t="s">
        <v>765</v>
      </c>
      <c r="B315" s="34" t="s">
        <v>985</v>
      </c>
      <c r="C315" s="18" t="s">
        <v>346</v>
      </c>
      <c r="D315" s="32" t="s">
        <v>1418</v>
      </c>
      <c r="E315" s="5">
        <f>IF('зведена (БАЛАНС) (2)'!E315&gt;'зведена (БАЛАНС) (2)'!F315,'зведена (БАЛАНС) (2)'!E315-'зведена (БАЛАНС) (2)'!F315,0)</f>
        <v>0</v>
      </c>
      <c r="F315" s="5">
        <f>IF('зведена (БАЛАНС) (2)'!F315&gt;'зведена (БАЛАНС) (2)'!E315,'зведена (БАЛАНС) (2)'!F315-'зведена (БАЛАНС) (2)'!E315,0)</f>
        <v>10594.7</v>
      </c>
    </row>
    <row r="316" spans="1:6" s="29" customFormat="1" x14ac:dyDescent="0.25">
      <c r="A316" s="33" t="s">
        <v>765</v>
      </c>
      <c r="B316" s="34" t="s">
        <v>985</v>
      </c>
      <c r="C316" s="18" t="s">
        <v>347</v>
      </c>
      <c r="D316" s="32" t="s">
        <v>1419</v>
      </c>
      <c r="E316" s="5">
        <f>IF('зведена (БАЛАНС) (2)'!E316&gt;'зведена (БАЛАНС) (2)'!F316,'зведена (БАЛАНС) (2)'!E316-'зведена (БАЛАНС) (2)'!F316,0)</f>
        <v>0</v>
      </c>
      <c r="F316" s="5">
        <f>IF('зведена (БАЛАНС) (2)'!F316&gt;'зведена (БАЛАНС) (2)'!E316,'зведена (БАЛАНС) (2)'!F316-'зведена (БАЛАНС) (2)'!E316,0)</f>
        <v>16604.099999999999</v>
      </c>
    </row>
    <row r="317" spans="1:6" s="29" customFormat="1" x14ac:dyDescent="0.25">
      <c r="A317" s="33" t="s">
        <v>765</v>
      </c>
      <c r="B317" s="34" t="s">
        <v>985</v>
      </c>
      <c r="C317" s="18" t="s">
        <v>348</v>
      </c>
      <c r="D317" s="32" t="s">
        <v>2948</v>
      </c>
      <c r="E317" s="5">
        <f>IF('зведена (БАЛАНС) (2)'!E317&gt;'зведена (БАЛАНС) (2)'!F317,'зведена (БАЛАНС) (2)'!E317-'зведена (БАЛАНС) (2)'!F317,0)</f>
        <v>0</v>
      </c>
      <c r="F317" s="5">
        <f>IF('зведена (БАЛАНС) (2)'!F317&gt;'зведена (БАЛАНС) (2)'!E317,'зведена (БАЛАНС) (2)'!F317-'зведена (БАЛАНС) (2)'!E317,0)</f>
        <v>0</v>
      </c>
    </row>
    <row r="318" spans="1:6" x14ac:dyDescent="0.25">
      <c r="A318" s="33" t="s">
        <v>765</v>
      </c>
      <c r="B318" s="34" t="s">
        <v>985</v>
      </c>
      <c r="C318" s="18" t="s">
        <v>349</v>
      </c>
      <c r="D318" s="32" t="s">
        <v>1421</v>
      </c>
      <c r="E318" s="5">
        <f>IF('зведена (БАЛАНС) (2)'!E318&gt;'зведена (БАЛАНС) (2)'!F318,'зведена (БАЛАНС) (2)'!E318-'зведена (БАЛАНС) (2)'!F318,0)</f>
        <v>0</v>
      </c>
      <c r="F318" s="5">
        <f>IF('зведена (БАЛАНС) (2)'!F318&gt;'зведена (БАЛАНС) (2)'!E318,'зведена (БАЛАНС) (2)'!F318-'зведена (БАЛАНС) (2)'!E318,0)</f>
        <v>0</v>
      </c>
    </row>
    <row r="319" spans="1:6" x14ac:dyDescent="0.25">
      <c r="A319" s="33" t="s">
        <v>765</v>
      </c>
      <c r="B319" s="34" t="s">
        <v>985</v>
      </c>
      <c r="C319" s="18" t="s">
        <v>350</v>
      </c>
      <c r="D319" s="32" t="s">
        <v>1422</v>
      </c>
      <c r="E319" s="5">
        <f>IF('зведена (БАЛАНС) (2)'!E319&gt;'зведена (БАЛАНС) (2)'!F319,'зведена (БАЛАНС) (2)'!E319-'зведена (БАЛАНС) (2)'!F319,0)</f>
        <v>0</v>
      </c>
      <c r="F319" s="5">
        <f>IF('зведена (БАЛАНС) (2)'!F319&gt;'зведена (БАЛАНС) (2)'!E319,'зведена (БАЛАНС) (2)'!F319-'зведена (БАЛАНС) (2)'!E319,0)</f>
        <v>20609.3</v>
      </c>
    </row>
    <row r="320" spans="1:6" x14ac:dyDescent="0.25">
      <c r="A320" s="33" t="s">
        <v>765</v>
      </c>
      <c r="B320" s="34" t="s">
        <v>985</v>
      </c>
      <c r="C320" s="18" t="s">
        <v>351</v>
      </c>
      <c r="D320" s="32" t="s">
        <v>1423</v>
      </c>
      <c r="E320" s="5">
        <f>IF('зведена (БАЛАНС) (2)'!E320&gt;'зведена (БАЛАНС) (2)'!F320,'зведена (БАЛАНС) (2)'!E320-'зведена (БАЛАНС) (2)'!F320,0)</f>
        <v>0</v>
      </c>
      <c r="F320" s="5">
        <f>IF('зведена (БАЛАНС) (2)'!F320&gt;'зведена (БАЛАНС) (2)'!E320,'зведена (БАЛАНС) (2)'!F320-'зведена (БАЛАНС) (2)'!E320,0)</f>
        <v>7691.2</v>
      </c>
    </row>
    <row r="321" spans="1:6" x14ac:dyDescent="0.25">
      <c r="A321" s="33" t="s">
        <v>765</v>
      </c>
      <c r="B321" s="34" t="s">
        <v>984</v>
      </c>
      <c r="C321" s="18" t="s">
        <v>352</v>
      </c>
      <c r="D321" s="32" t="s">
        <v>1424</v>
      </c>
      <c r="E321" s="5">
        <f>IF('зведена (БАЛАНС) (2)'!E321&gt;'зведена (БАЛАНС) (2)'!F321,'зведена (БАЛАНС) (2)'!E321-'зведена (БАЛАНС) (2)'!F321,0)</f>
        <v>1557.5</v>
      </c>
      <c r="F321" s="5">
        <f>IF('зведена (БАЛАНС) (2)'!F321&gt;'зведена (БАЛАНС) (2)'!E321,'зведена (БАЛАНС) (2)'!F321-'зведена (БАЛАНС) (2)'!E321,0)</f>
        <v>0</v>
      </c>
    </row>
    <row r="322" spans="1:6" x14ac:dyDescent="0.25">
      <c r="A322" s="33" t="s">
        <v>765</v>
      </c>
      <c r="B322" s="34" t="s">
        <v>984</v>
      </c>
      <c r="C322" s="18" t="s">
        <v>353</v>
      </c>
      <c r="D322" s="32" t="s">
        <v>1425</v>
      </c>
      <c r="E322" s="5">
        <f>IF('зведена (БАЛАНС) (2)'!E322&gt;'зведена (БАЛАНС) (2)'!F322,'зведена (БАЛАНС) (2)'!E322-'зведена (БАЛАНС) (2)'!F322,0)</f>
        <v>0</v>
      </c>
      <c r="F322" s="5">
        <f>IF('зведена (БАЛАНС) (2)'!F322&gt;'зведена (БАЛАНС) (2)'!E322,'зведена (БАЛАНС) (2)'!F322-'зведена (БАЛАНС) (2)'!E322,0)</f>
        <v>11184</v>
      </c>
    </row>
    <row r="323" spans="1:6" x14ac:dyDescent="0.25">
      <c r="A323" s="33" t="s">
        <v>765</v>
      </c>
      <c r="B323" s="34" t="s">
        <v>984</v>
      </c>
      <c r="C323" s="18" t="s">
        <v>354</v>
      </c>
      <c r="D323" s="32" t="s">
        <v>1426</v>
      </c>
      <c r="E323" s="5">
        <f>IF('зведена (БАЛАНС) (2)'!E323&gt;'зведена (БАЛАНС) (2)'!F323,'зведена (БАЛАНС) (2)'!E323-'зведена (БАЛАНС) (2)'!F323,0)</f>
        <v>0</v>
      </c>
      <c r="F323" s="5">
        <f>IF('зведена (БАЛАНС) (2)'!F323&gt;'зведена (БАЛАНС) (2)'!E323,'зведена (БАЛАНС) (2)'!F323-'зведена (БАЛАНС) (2)'!E323,0)</f>
        <v>7737.6</v>
      </c>
    </row>
    <row r="324" spans="1:6" x14ac:dyDescent="0.25">
      <c r="A324" s="33" t="s">
        <v>765</v>
      </c>
      <c r="B324" s="34" t="s">
        <v>984</v>
      </c>
      <c r="C324" s="18" t="s">
        <v>355</v>
      </c>
      <c r="D324" s="32" t="s">
        <v>1427</v>
      </c>
      <c r="E324" s="5">
        <f>IF('зведена (БАЛАНС) (2)'!E324&gt;'зведена (БАЛАНС) (2)'!F324,'зведена (БАЛАНС) (2)'!E324-'зведена (БАЛАНС) (2)'!F324,0)</f>
        <v>0</v>
      </c>
      <c r="F324" s="5">
        <f>IF('зведена (БАЛАНС) (2)'!F324&gt;'зведена (БАЛАНС) (2)'!E324,'зведена (БАЛАНС) (2)'!F324-'зведена (БАЛАНС) (2)'!E324,0)</f>
        <v>0</v>
      </c>
    </row>
    <row r="325" spans="1:6" x14ac:dyDescent="0.25">
      <c r="A325" s="33" t="s">
        <v>765</v>
      </c>
      <c r="B325" s="34" t="s">
        <v>984</v>
      </c>
      <c r="C325" s="18" t="s">
        <v>356</v>
      </c>
      <c r="D325" s="32" t="s">
        <v>1428</v>
      </c>
      <c r="E325" s="5">
        <f>IF('зведена (БАЛАНС) (2)'!E325&gt;'зведена (БАЛАНС) (2)'!F325,'зведена (БАЛАНС) (2)'!E325-'зведена (БАЛАНС) (2)'!F325,0)</f>
        <v>4162.3999999999996</v>
      </c>
      <c r="F325" s="5">
        <f>IF('зведена (БАЛАНС) (2)'!F325&gt;'зведена (БАЛАНС) (2)'!E325,'зведена (БАЛАНС) (2)'!F325-'зведена (БАЛАНС) (2)'!E325,0)</f>
        <v>0</v>
      </c>
    </row>
    <row r="326" spans="1:6" x14ac:dyDescent="0.25">
      <c r="A326" s="33" t="s">
        <v>765</v>
      </c>
      <c r="B326" s="34" t="s">
        <v>984</v>
      </c>
      <c r="C326" s="18" t="s">
        <v>357</v>
      </c>
      <c r="D326" s="32" t="s">
        <v>1088</v>
      </c>
      <c r="E326" s="5">
        <f>IF('зведена (БАЛАНС) (2)'!E326&gt;'зведена (БАЛАНС) (2)'!F326,'зведена (БАЛАНС) (2)'!E326-'зведена (БАЛАНС) (2)'!F326,0)</f>
        <v>0</v>
      </c>
      <c r="F326" s="5">
        <f>IF('зведена (БАЛАНС) (2)'!F326&gt;'зведена (БАЛАНС) (2)'!E326,'зведена (БАЛАНС) (2)'!F326-'зведена (БАЛАНС) (2)'!E326,0)</f>
        <v>3593.4</v>
      </c>
    </row>
    <row r="327" spans="1:6" x14ac:dyDescent="0.25">
      <c r="A327" s="33" t="s">
        <v>765</v>
      </c>
      <c r="B327" s="34" t="s">
        <v>984</v>
      </c>
      <c r="C327" s="18" t="s">
        <v>358</v>
      </c>
      <c r="D327" s="32" t="s">
        <v>1430</v>
      </c>
      <c r="E327" s="5">
        <f>IF('зведена (БАЛАНС) (2)'!E327&gt;'зведена (БАЛАНС) (2)'!F327,'зведена (БАЛАНС) (2)'!E327-'зведена (БАЛАНС) (2)'!F327,0)</f>
        <v>593.1</v>
      </c>
      <c r="F327" s="5">
        <f>IF('зведена (БАЛАНС) (2)'!F327&gt;'зведена (БАЛАНС) (2)'!E327,'зведена (БАЛАНС) (2)'!F327-'зведена (БАЛАНС) (2)'!E327,0)</f>
        <v>0</v>
      </c>
    </row>
    <row r="328" spans="1:6" x14ac:dyDescent="0.25">
      <c r="A328" s="33" t="s">
        <v>765</v>
      </c>
      <c r="B328" s="34" t="s">
        <v>984</v>
      </c>
      <c r="C328" s="18" t="s">
        <v>359</v>
      </c>
      <c r="D328" s="32" t="s">
        <v>1431</v>
      </c>
      <c r="E328" s="5">
        <f>IF('зведена (БАЛАНС) (2)'!E328&gt;'зведена (БАЛАНС) (2)'!F328,'зведена (БАЛАНС) (2)'!E328-'зведена (БАЛАНС) (2)'!F328,0)</f>
        <v>0</v>
      </c>
      <c r="F328" s="5">
        <f>IF('зведена (БАЛАНС) (2)'!F328&gt;'зведена (БАЛАНС) (2)'!E328,'зведена (БАЛАНС) (2)'!F328-'зведена (БАЛАНС) (2)'!E328,0)</f>
        <v>0</v>
      </c>
    </row>
    <row r="329" spans="1:6" x14ac:dyDescent="0.25">
      <c r="A329" s="33" t="s">
        <v>765</v>
      </c>
      <c r="B329" s="34" t="s">
        <v>984</v>
      </c>
      <c r="C329" s="18" t="s">
        <v>360</v>
      </c>
      <c r="D329" s="32" t="s">
        <v>2949</v>
      </c>
      <c r="E329" s="5">
        <f>IF('зведена (БАЛАНС) (2)'!E329&gt;'зведена (БАЛАНС) (2)'!F329,'зведена (БАЛАНС) (2)'!E329-'зведена (БАЛАНС) (2)'!F329,0)</f>
        <v>27515.599999999999</v>
      </c>
      <c r="F329" s="5">
        <f>IF('зведена (БАЛАНС) (2)'!F329&gt;'зведена (БАЛАНС) (2)'!E329,'зведена (БАЛАНС) (2)'!F329-'зведена (БАЛАНС) (2)'!E329,0)</f>
        <v>0</v>
      </c>
    </row>
    <row r="330" spans="1:6" x14ac:dyDescent="0.25">
      <c r="A330" s="33" t="s">
        <v>765</v>
      </c>
      <c r="B330" s="34" t="s">
        <v>984</v>
      </c>
      <c r="C330" s="18" t="s">
        <v>361</v>
      </c>
      <c r="D330" s="32" t="s">
        <v>1433</v>
      </c>
      <c r="E330" s="5">
        <f>IF('зведена (БАЛАНС) (2)'!E330&gt;'зведена (БАЛАНС) (2)'!F330,'зведена (БАЛАНС) (2)'!E330-'зведена (БАЛАНС) (2)'!F330,0)</f>
        <v>4541</v>
      </c>
      <c r="F330" s="5">
        <f>IF('зведена (БАЛАНС) (2)'!F330&gt;'зведена (БАЛАНС) (2)'!E330,'зведена (БАЛАНС) (2)'!F330-'зведена (БАЛАНС) (2)'!E330,0)</f>
        <v>0</v>
      </c>
    </row>
    <row r="331" spans="1:6" x14ac:dyDescent="0.25">
      <c r="A331" s="33" t="s">
        <v>765</v>
      </c>
      <c r="B331" s="34" t="s">
        <v>985</v>
      </c>
      <c r="C331" s="18" t="s">
        <v>549</v>
      </c>
      <c r="D331" s="32" t="s">
        <v>1434</v>
      </c>
      <c r="E331" s="5">
        <f>IF('зведена (БАЛАНС) (2)'!E331&gt;'зведена (БАЛАНС) (2)'!F331,'зведена (БАЛАНС) (2)'!E331-'зведена (БАЛАНС) (2)'!F331,0)</f>
        <v>0</v>
      </c>
      <c r="F331" s="5">
        <f>IF('зведена (БАЛАНС) (2)'!F331&gt;'зведена (БАЛАНС) (2)'!E331,'зведена (БАЛАНС) (2)'!F331-'зведена (БАЛАНС) (2)'!E331,0)</f>
        <v>21186.400000000001</v>
      </c>
    </row>
    <row r="332" spans="1:6" x14ac:dyDescent="0.25">
      <c r="A332" s="33" t="s">
        <v>765</v>
      </c>
      <c r="B332" s="34" t="s">
        <v>985</v>
      </c>
      <c r="C332" s="18" t="s">
        <v>680</v>
      </c>
      <c r="D332" s="32" t="s">
        <v>1435</v>
      </c>
      <c r="E332" s="5">
        <f>IF('зведена (БАЛАНС) (2)'!E332&gt;'зведена (БАЛАНС) (2)'!F332,'зведена (БАЛАНС) (2)'!E332-'зведена (БАЛАНС) (2)'!F332,0)</f>
        <v>0</v>
      </c>
      <c r="F332" s="5">
        <f>IF('зведена (БАЛАНС) (2)'!F332&gt;'зведена (БАЛАНС) (2)'!E332,'зведена (БАЛАНС) (2)'!F332-'зведена (БАЛАНС) (2)'!E332,0)</f>
        <v>4878.8</v>
      </c>
    </row>
    <row r="333" spans="1:6" x14ac:dyDescent="0.25">
      <c r="A333" s="33" t="s">
        <v>765</v>
      </c>
      <c r="B333" s="34" t="s">
        <v>984</v>
      </c>
      <c r="C333" s="18" t="s">
        <v>681</v>
      </c>
      <c r="D333" s="32" t="s">
        <v>1436</v>
      </c>
      <c r="E333" s="5">
        <f>IF('зведена (БАЛАНС) (2)'!E333&gt;'зведена (БАЛАНС) (2)'!F333,'зведена (БАЛАНС) (2)'!E333-'зведена (БАЛАНС) (2)'!F333,0)</f>
        <v>0</v>
      </c>
      <c r="F333" s="5">
        <f>IF('зведена (БАЛАНС) (2)'!F333&gt;'зведена (БАЛАНС) (2)'!E333,'зведена (БАЛАНС) (2)'!F333-'зведена (БАЛАНС) (2)'!E333,0)</f>
        <v>9788.2000000000007</v>
      </c>
    </row>
    <row r="334" spans="1:6" x14ac:dyDescent="0.25">
      <c r="A334" s="33" t="s">
        <v>765</v>
      </c>
      <c r="B334" s="34" t="s">
        <v>984</v>
      </c>
      <c r="C334" s="18" t="s">
        <v>682</v>
      </c>
      <c r="D334" s="32" t="s">
        <v>1437</v>
      </c>
      <c r="E334" s="5">
        <f>IF('зведена (БАЛАНС) (2)'!E334&gt;'зведена (БАЛАНС) (2)'!F334,'зведена (БАЛАНС) (2)'!E334-'зведена (БАЛАНС) (2)'!F334,0)</f>
        <v>0</v>
      </c>
      <c r="F334" s="5">
        <f>IF('зведена (БАЛАНС) (2)'!F334&gt;'зведена (БАЛАНС) (2)'!E334,'зведена (БАЛАНС) (2)'!F334-'зведена (БАЛАНС) (2)'!E334,0)</f>
        <v>5102.1000000000004</v>
      </c>
    </row>
    <row r="335" spans="1:6" x14ac:dyDescent="0.25">
      <c r="A335" s="33" t="s">
        <v>765</v>
      </c>
      <c r="B335" s="34" t="s">
        <v>984</v>
      </c>
      <c r="C335" s="18" t="s">
        <v>683</v>
      </c>
      <c r="D335" s="32" t="s">
        <v>2950</v>
      </c>
      <c r="E335" s="5">
        <f>IF('зведена (БАЛАНС) (2)'!E335&gt;'зведена (БАЛАНС) (2)'!F335,'зведена (БАЛАНС) (2)'!E335-'зведена (БАЛАНС) (2)'!F335,0)</f>
        <v>0</v>
      </c>
      <c r="F335" s="5">
        <f>IF('зведена (БАЛАНС) (2)'!F335&gt;'зведена (БАЛАНС) (2)'!E335,'зведена (БАЛАНС) (2)'!F335-'зведена (БАЛАНС) (2)'!E335,0)</f>
        <v>10000</v>
      </c>
    </row>
    <row r="336" spans="1:6" x14ac:dyDescent="0.25">
      <c r="A336" s="33" t="s">
        <v>765</v>
      </c>
      <c r="B336" s="34" t="s">
        <v>983</v>
      </c>
      <c r="C336" s="18" t="s">
        <v>684</v>
      </c>
      <c r="D336" s="32" t="s">
        <v>2951</v>
      </c>
      <c r="E336" s="5">
        <f>IF('зведена (БАЛАНС) (2)'!E336&gt;'зведена (БАЛАНС) (2)'!F336,'зведена (БАЛАНС) (2)'!E336-'зведена (БАЛАНС) (2)'!F336,0)</f>
        <v>0</v>
      </c>
      <c r="F336" s="5">
        <f>IF('зведена (БАЛАНС) (2)'!F336&gt;'зведена (БАЛАНС) (2)'!E336,'зведена (БАЛАНС) (2)'!F336-'зведена (БАЛАНС) (2)'!E336,0)</f>
        <v>24003.5</v>
      </c>
    </row>
    <row r="337" spans="1:6" x14ac:dyDescent="0.25">
      <c r="A337" s="33" t="s">
        <v>765</v>
      </c>
      <c r="B337" s="34" t="s">
        <v>984</v>
      </c>
      <c r="C337" s="18" t="s">
        <v>685</v>
      </c>
      <c r="D337" s="32" t="s">
        <v>1440</v>
      </c>
      <c r="E337" s="5">
        <f>IF('зведена (БАЛАНС) (2)'!E337&gt;'зведена (БАЛАНС) (2)'!F337,'зведена (БАЛАНС) (2)'!E337-'зведена (БАЛАНС) (2)'!F337,0)</f>
        <v>0</v>
      </c>
      <c r="F337" s="5">
        <f>IF('зведена (БАЛАНС) (2)'!F337&gt;'зведена (БАЛАНС) (2)'!E337,'зведена (БАЛАНС) (2)'!F337-'зведена (БАЛАНС) (2)'!E337,0)</f>
        <v>13600.1</v>
      </c>
    </row>
    <row r="338" spans="1:6" x14ac:dyDescent="0.25">
      <c r="A338" s="33" t="s">
        <v>765</v>
      </c>
      <c r="B338" s="34" t="s">
        <v>985</v>
      </c>
      <c r="C338" s="18" t="s">
        <v>686</v>
      </c>
      <c r="D338" s="32" t="s">
        <v>1441</v>
      </c>
      <c r="E338" s="5">
        <f>IF('зведена (БАЛАНС) (2)'!E338&gt;'зведена (БАЛАНС) (2)'!F338,'зведена (БАЛАНС) (2)'!E338-'зведена (БАЛАНС) (2)'!F338,0)</f>
        <v>0</v>
      </c>
      <c r="F338" s="5">
        <f>IF('зведена (БАЛАНС) (2)'!F338&gt;'зведена (БАЛАНС) (2)'!E338,'зведена (БАЛАНС) (2)'!F338-'зведена (БАЛАНС) (2)'!E338,0)</f>
        <v>13188.5</v>
      </c>
    </row>
    <row r="339" spans="1:6" x14ac:dyDescent="0.25">
      <c r="A339" s="33" t="s">
        <v>765</v>
      </c>
      <c r="B339" s="34" t="s">
        <v>983</v>
      </c>
      <c r="C339" s="18" t="s">
        <v>687</v>
      </c>
      <c r="D339" s="32" t="s">
        <v>1442</v>
      </c>
      <c r="E339" s="5">
        <f>IF('зведена (БАЛАНС) (2)'!E339&gt;'зведена (БАЛАНС) (2)'!F339,'зведена (БАЛАНС) (2)'!E339-'зведена (БАЛАНС) (2)'!F339,0)</f>
        <v>0</v>
      </c>
      <c r="F339" s="5">
        <f>IF('зведена (БАЛАНС) (2)'!F339&gt;'зведена (БАЛАНС) (2)'!E339,'зведена (БАЛАНС) (2)'!F339-'зведена (БАЛАНС) (2)'!E339,0)</f>
        <v>1110.4000000000001</v>
      </c>
    </row>
    <row r="340" spans="1:6" x14ac:dyDescent="0.25">
      <c r="A340" s="33" t="s">
        <v>765</v>
      </c>
      <c r="B340" s="34" t="s">
        <v>984</v>
      </c>
      <c r="C340" s="18" t="s">
        <v>688</v>
      </c>
      <c r="D340" s="32" t="s">
        <v>1443</v>
      </c>
      <c r="E340" s="5">
        <f>IF('зведена (БАЛАНС) (2)'!E340&gt;'зведена (БАЛАНС) (2)'!F340,'зведена (БАЛАНС) (2)'!E340-'зведена (БАЛАНС) (2)'!F340,0)</f>
        <v>0</v>
      </c>
      <c r="F340" s="5">
        <f>IF('зведена (БАЛАНС) (2)'!F340&gt;'зведена (БАЛАНС) (2)'!E340,'зведена (БАЛАНС) (2)'!F340-'зведена (БАЛАНС) (2)'!E340,0)</f>
        <v>15884.4</v>
      </c>
    </row>
    <row r="341" spans="1:6" x14ac:dyDescent="0.25">
      <c r="A341" s="33" t="s">
        <v>765</v>
      </c>
      <c r="B341" s="34" t="s">
        <v>984</v>
      </c>
      <c r="C341" s="18" t="s">
        <v>689</v>
      </c>
      <c r="D341" s="32" t="s">
        <v>1444</v>
      </c>
      <c r="E341" s="5">
        <f>IF('зведена (БАЛАНС) (2)'!E341&gt;'зведена (БАЛАНС) (2)'!F341,'зведена (БАЛАНС) (2)'!E341-'зведена (БАЛАНС) (2)'!F341,0)</f>
        <v>21501</v>
      </c>
      <c r="F341" s="5">
        <f>IF('зведена (БАЛАНС) (2)'!F341&gt;'зведена (БАЛАНС) (2)'!E341,'зведена (БАЛАНС) (2)'!F341-'зведена (БАЛАНС) (2)'!E341,0)</f>
        <v>0</v>
      </c>
    </row>
    <row r="342" spans="1:6" x14ac:dyDescent="0.25">
      <c r="A342" s="33" t="s">
        <v>765</v>
      </c>
      <c r="B342" s="34" t="s">
        <v>984</v>
      </c>
      <c r="C342" s="18" t="s">
        <v>867</v>
      </c>
      <c r="D342" s="32" t="s">
        <v>1445</v>
      </c>
      <c r="E342" s="5">
        <f>IF('зведена (БАЛАНС) (2)'!E342&gt;'зведена (БАЛАНС) (2)'!F342,'зведена (БАЛАНС) (2)'!E342-'зведена (БАЛАНС) (2)'!F342,0)</f>
        <v>0</v>
      </c>
      <c r="F342" s="5">
        <f>IF('зведена (БАЛАНС) (2)'!F342&gt;'зведена (БАЛАНС) (2)'!E342,'зведена (БАЛАНС) (2)'!F342-'зведена (БАЛАНС) (2)'!E342,0)</f>
        <v>2042.6</v>
      </c>
    </row>
    <row r="343" spans="1:6" x14ac:dyDescent="0.25">
      <c r="A343" s="33" t="s">
        <v>765</v>
      </c>
      <c r="B343" s="34" t="s">
        <v>984</v>
      </c>
      <c r="C343" s="18" t="s">
        <v>868</v>
      </c>
      <c r="D343" s="32" t="s">
        <v>1446</v>
      </c>
      <c r="E343" s="5">
        <f>IF('зведена (БАЛАНС) (2)'!E343&gt;'зведена (БАЛАНС) (2)'!F343,'зведена (БАЛАНС) (2)'!E343-'зведена (БАЛАНС) (2)'!F343,0)</f>
        <v>0</v>
      </c>
      <c r="F343" s="5">
        <f>IF('зведена (БАЛАНС) (2)'!F343&gt;'зведена (БАЛАНС) (2)'!E343,'зведена (БАЛАНС) (2)'!F343-'зведена (БАЛАНС) (2)'!E343,0)</f>
        <v>3942.4</v>
      </c>
    </row>
    <row r="344" spans="1:6" x14ac:dyDescent="0.25">
      <c r="A344" s="33" t="s">
        <v>765</v>
      </c>
      <c r="B344" s="34" t="s">
        <v>985</v>
      </c>
      <c r="C344" s="18" t="s">
        <v>869</v>
      </c>
      <c r="D344" s="32" t="s">
        <v>1447</v>
      </c>
      <c r="E344" s="5">
        <f>IF('зведена (БАЛАНС) (2)'!E344&gt;'зведена (БАЛАНС) (2)'!F344,'зведена (БАЛАНС) (2)'!E344-'зведена (БАЛАНС) (2)'!F344,0)</f>
        <v>0</v>
      </c>
      <c r="F344" s="5">
        <f>IF('зведена (БАЛАНС) (2)'!F344&gt;'зведена (БАЛАНС) (2)'!E344,'зведена (БАЛАНС) (2)'!F344-'зведена (БАЛАНС) (2)'!E344,0)</f>
        <v>12461.8</v>
      </c>
    </row>
    <row r="345" spans="1:6" x14ac:dyDescent="0.25">
      <c r="A345" s="33" t="s">
        <v>765</v>
      </c>
      <c r="B345" s="34" t="s">
        <v>984</v>
      </c>
      <c r="C345" s="18" t="s">
        <v>870</v>
      </c>
      <c r="D345" s="32" t="s">
        <v>1448</v>
      </c>
      <c r="E345" s="5">
        <f>IF('зведена (БАЛАНС) (2)'!E345&gt;'зведена (БАЛАНС) (2)'!F345,'зведена (БАЛАНС) (2)'!E345-'зведена (БАЛАНС) (2)'!F345,0)</f>
        <v>0</v>
      </c>
      <c r="F345" s="5">
        <f>IF('зведена (БАЛАНС) (2)'!F345&gt;'зведена (БАЛАНС) (2)'!E345,'зведена (БАЛАНС) (2)'!F345-'зведена (БАЛАНС) (2)'!E345,0)</f>
        <v>5749.7</v>
      </c>
    </row>
    <row r="346" spans="1:6" s="28" customFormat="1" x14ac:dyDescent="0.25">
      <c r="A346" s="33" t="s">
        <v>765</v>
      </c>
      <c r="B346" s="34" t="s">
        <v>983</v>
      </c>
      <c r="C346" s="18" t="s">
        <v>871</v>
      </c>
      <c r="D346" s="32" t="s">
        <v>1449</v>
      </c>
      <c r="E346" s="5">
        <f>IF('зведена (БАЛАНС) (2)'!E346&gt;'зведена (БАЛАНС) (2)'!F346,'зведена (БАЛАНС) (2)'!E346-'зведена (БАЛАНС) (2)'!F346,0)</f>
        <v>0</v>
      </c>
      <c r="F346" s="5">
        <f>IF('зведена (БАЛАНС) (2)'!F346&gt;'зведена (БАЛАНС) (2)'!E346,'зведена (БАЛАНС) (2)'!F346-'зведена (БАЛАНС) (2)'!E346,0)</f>
        <v>6078.2</v>
      </c>
    </row>
    <row r="347" spans="1:6" s="28" customFormat="1" x14ac:dyDescent="0.25">
      <c r="A347" s="33" t="s">
        <v>765</v>
      </c>
      <c r="B347" s="34" t="s">
        <v>984</v>
      </c>
      <c r="C347" s="18" t="s">
        <v>872</v>
      </c>
      <c r="D347" s="32" t="s">
        <v>1450</v>
      </c>
      <c r="E347" s="5">
        <f>IF('зведена (БАЛАНС) (2)'!E347&gt;'зведена (БАЛАНС) (2)'!F347,'зведена (БАЛАНС) (2)'!E347-'зведена (БАЛАНС) (2)'!F347,0)</f>
        <v>0</v>
      </c>
      <c r="F347" s="5">
        <f>IF('зведена (БАЛАНС) (2)'!F347&gt;'зведена (БАЛАНС) (2)'!E347,'зведена (БАЛАНС) (2)'!F347-'зведена (БАЛАНС) (2)'!E347,0)</f>
        <v>2784.8</v>
      </c>
    </row>
    <row r="348" spans="1:6" s="28" customFormat="1" x14ac:dyDescent="0.25">
      <c r="A348" s="33" t="s">
        <v>765</v>
      </c>
      <c r="B348" s="34" t="s">
        <v>986</v>
      </c>
      <c r="C348" s="30" t="s">
        <v>976</v>
      </c>
      <c r="D348" s="67" t="s">
        <v>2952</v>
      </c>
      <c r="E348" s="5">
        <f>IF('зведена (БАЛАНС) (2)'!E348&gt;'зведена (БАЛАНС) (2)'!F348,'зведена (БАЛАНС) (2)'!E348-'зведена (БАЛАНС) (2)'!F348,0)</f>
        <v>143619.4</v>
      </c>
      <c r="F348" s="5">
        <f>IF('зведена (БАЛАНС) (2)'!F348&gt;'зведена (БАЛАНС) (2)'!E348,'зведена (БАЛАНС) (2)'!F348-'зведена (БАЛАНС) (2)'!E348,0)</f>
        <v>0</v>
      </c>
    </row>
    <row r="349" spans="1:6" s="28" customFormat="1" x14ac:dyDescent="0.25">
      <c r="A349" s="33" t="s">
        <v>765</v>
      </c>
      <c r="B349" s="34" t="s">
        <v>986</v>
      </c>
      <c r="C349" s="30" t="s">
        <v>977</v>
      </c>
      <c r="D349" s="32" t="s">
        <v>2953</v>
      </c>
      <c r="E349" s="5">
        <f>IF('зведена (БАЛАНС) (2)'!E349&gt;'зведена (БАЛАНС) (2)'!F349,'зведена (БАЛАНС) (2)'!E349-'зведена (БАЛАНС) (2)'!F349,0)</f>
        <v>9205.5</v>
      </c>
      <c r="F349" s="5">
        <f>IF('зведена (БАЛАНС) (2)'!F349&gt;'зведена (БАЛАНС) (2)'!E349,'зведена (БАЛАНС) (2)'!F349-'зведена (БАЛАНС) (2)'!E349,0)</f>
        <v>0</v>
      </c>
    </row>
    <row r="350" spans="1:6" s="28" customFormat="1" x14ac:dyDescent="0.25">
      <c r="A350" s="33" t="s">
        <v>765</v>
      </c>
      <c r="B350" s="34" t="s">
        <v>984</v>
      </c>
      <c r="C350" s="30" t="s">
        <v>1022</v>
      </c>
      <c r="D350" s="32" t="s">
        <v>2954</v>
      </c>
      <c r="E350" s="5">
        <f>IF('зведена (БАЛАНС) (2)'!E350&gt;'зведена (БАЛАНС) (2)'!F350,'зведена (БАЛАНС) (2)'!E350-'зведена (БАЛАНС) (2)'!F350,0)</f>
        <v>0</v>
      </c>
      <c r="F350" s="5">
        <f>IF('зведена (БАЛАНС) (2)'!F350&gt;'зведена (БАЛАНС) (2)'!E350,'зведена (БАЛАНС) (2)'!F350-'зведена (БАЛАНС) (2)'!E350,0)</f>
        <v>1850.9</v>
      </c>
    </row>
    <row r="351" spans="1:6" s="28" customFormat="1" x14ac:dyDescent="0.25">
      <c r="A351" s="33" t="s">
        <v>765</v>
      </c>
      <c r="B351" s="34" t="s">
        <v>984</v>
      </c>
      <c r="C351" s="30" t="s">
        <v>1023</v>
      </c>
      <c r="D351" s="32" t="s">
        <v>2955</v>
      </c>
      <c r="E351" s="5">
        <f>IF('зведена (БАЛАНС) (2)'!E351&gt;'зведена (БАЛАНС) (2)'!F351,'зведена (БАЛАНС) (2)'!E351-'зведена (БАЛАНС) (2)'!F351,0)</f>
        <v>0</v>
      </c>
      <c r="F351" s="5">
        <f>IF('зведена (БАЛАНС) (2)'!F351&gt;'зведена (БАЛАНС) (2)'!E351,'зведена (БАЛАНС) (2)'!F351-'зведена (БАЛАНС) (2)'!E351,0)</f>
        <v>147</v>
      </c>
    </row>
    <row r="352" spans="1:6" s="27" customFormat="1" x14ac:dyDescent="0.25">
      <c r="A352" s="33" t="s">
        <v>765</v>
      </c>
      <c r="B352" s="34" t="s">
        <v>984</v>
      </c>
      <c r="C352" s="30" t="s">
        <v>1038</v>
      </c>
      <c r="D352" s="32" t="s">
        <v>2956</v>
      </c>
      <c r="E352" s="5">
        <f>IF('зведена (БАЛАНС) (2)'!E352&gt;'зведена (БАЛАНС) (2)'!F352,'зведена (БАЛАНС) (2)'!E352-'зведена (БАЛАНС) (2)'!F352,0)</f>
        <v>0</v>
      </c>
      <c r="F352" s="5">
        <f>IF('зведена (БАЛАНС) (2)'!F352&gt;'зведена (БАЛАНС) (2)'!E352,'зведена (БАЛАНС) (2)'!F352-'зведена (БАЛАНС) (2)'!E352,0)</f>
        <v>5699</v>
      </c>
    </row>
    <row r="353" spans="1:6" x14ac:dyDescent="0.25">
      <c r="A353" s="33" t="s">
        <v>765</v>
      </c>
      <c r="B353" s="34" t="s">
        <v>983</v>
      </c>
      <c r="C353" s="30" t="s">
        <v>1456</v>
      </c>
      <c r="D353" s="32" t="s">
        <v>1457</v>
      </c>
      <c r="E353" s="5">
        <f>IF('зведена (БАЛАНС) (2)'!E353&gt;'зведена (БАЛАНС) (2)'!F353,'зведена (БАЛАНС) (2)'!E353-'зведена (БАЛАНС) (2)'!F353,0)</f>
        <v>0</v>
      </c>
      <c r="F353" s="5">
        <f>IF('зведена (БАЛАНС) (2)'!F353&gt;'зведена (БАЛАНС) (2)'!E353,'зведена (БАЛАНС) (2)'!F353-'зведена (БАЛАНС) (2)'!E353,0)</f>
        <v>5298.3</v>
      </c>
    </row>
    <row r="354" spans="1:6" x14ac:dyDescent="0.25">
      <c r="A354" s="33" t="s">
        <v>765</v>
      </c>
      <c r="B354" s="34" t="s">
        <v>986</v>
      </c>
      <c r="C354" s="30" t="s">
        <v>1458</v>
      </c>
      <c r="D354" s="80" t="s">
        <v>1459</v>
      </c>
      <c r="E354" s="5">
        <f>IF('зведена (БАЛАНС) (2)'!E354&gt;'зведена (БАЛАНС) (2)'!F354,'зведена (БАЛАНС) (2)'!E354-'зведена (БАЛАНС) (2)'!F354,0)</f>
        <v>0</v>
      </c>
      <c r="F354" s="5">
        <f>IF('зведена (БАЛАНС) (2)'!F354&gt;'зведена (БАЛАНС) (2)'!E354,'зведена (БАЛАНС) (2)'!F354-'зведена (БАЛАНС) (2)'!E354,0)</f>
        <v>12785</v>
      </c>
    </row>
    <row r="355" spans="1:6" x14ac:dyDescent="0.25">
      <c r="A355" s="33" t="s">
        <v>765</v>
      </c>
      <c r="B355" s="34" t="s">
        <v>984</v>
      </c>
      <c r="C355" s="30" t="s">
        <v>1460</v>
      </c>
      <c r="D355" s="80" t="s">
        <v>1461</v>
      </c>
      <c r="E355" s="5">
        <f>IF('зведена (БАЛАНС) (2)'!E355&gt;'зведена (БАЛАНС) (2)'!F355,'зведена (БАЛАНС) (2)'!E355-'зведена (БАЛАНС) (2)'!F355,0)</f>
        <v>0</v>
      </c>
      <c r="F355" s="5">
        <f>IF('зведена (БАЛАНС) (2)'!F355&gt;'зведена (БАЛАНС) (2)'!E355,'зведена (БАЛАНС) (2)'!F355-'зведена (БАЛАНС) (2)'!E355,0)</f>
        <v>8957.6</v>
      </c>
    </row>
    <row r="356" spans="1:6" x14ac:dyDescent="0.25">
      <c r="A356" s="33" t="s">
        <v>765</v>
      </c>
      <c r="B356" s="34" t="s">
        <v>984</v>
      </c>
      <c r="C356" s="30" t="s">
        <v>1462</v>
      </c>
      <c r="D356" s="80" t="s">
        <v>1463</v>
      </c>
      <c r="E356" s="5">
        <f>IF('зведена (БАЛАНС) (2)'!E356&gt;'зведена (БАЛАНС) (2)'!F356,'зведена (БАЛАНС) (2)'!E356-'зведена (БАЛАНС) (2)'!F356,0)</f>
        <v>0</v>
      </c>
      <c r="F356" s="5">
        <f>IF('зведена (БАЛАНС) (2)'!F356&gt;'зведена (БАЛАНС) (2)'!E356,'зведена (БАЛАНС) (2)'!F356-'зведена (БАЛАНС) (2)'!E356,0)</f>
        <v>130.80000000000001</v>
      </c>
    </row>
    <row r="357" spans="1:6" x14ac:dyDescent="0.25">
      <c r="A357" s="33" t="s">
        <v>765</v>
      </c>
      <c r="B357" s="34" t="s">
        <v>984</v>
      </c>
      <c r="C357" s="30" t="s">
        <v>1464</v>
      </c>
      <c r="D357" s="80" t="s">
        <v>1465</v>
      </c>
      <c r="E357" s="5">
        <f>IF('зведена (БАЛАНС) (2)'!E357&gt;'зведена (БАЛАНС) (2)'!F357,'зведена (БАЛАНС) (2)'!E357-'зведена (БАЛАНС) (2)'!F357,0)</f>
        <v>0</v>
      </c>
      <c r="F357" s="5">
        <f>IF('зведена (БАЛАНС) (2)'!F357&gt;'зведена (БАЛАНС) (2)'!E357,'зведена (БАЛАНС) (2)'!F357-'зведена (БАЛАНС) (2)'!E357,0)</f>
        <v>2534.3000000000002</v>
      </c>
    </row>
    <row r="358" spans="1:6" x14ac:dyDescent="0.25">
      <c r="A358" s="33" t="s">
        <v>765</v>
      </c>
      <c r="B358" s="34" t="s">
        <v>985</v>
      </c>
      <c r="C358" s="30" t="s">
        <v>1466</v>
      </c>
      <c r="D358" s="80" t="s">
        <v>1467</v>
      </c>
      <c r="E358" s="5">
        <f>IF('зведена (БАЛАНС) (2)'!E358&gt;'зведена (БАЛАНС) (2)'!F358,'зведена (БАЛАНС) (2)'!E358-'зведена (БАЛАНС) (2)'!F358,0)</f>
        <v>352.4</v>
      </c>
      <c r="F358" s="5">
        <f>IF('зведена (БАЛАНС) (2)'!F358&gt;'зведена (БАЛАНС) (2)'!E358,'зведена (БАЛАНС) (2)'!F358-'зведена (БАЛАНС) (2)'!E358,0)</f>
        <v>0</v>
      </c>
    </row>
    <row r="359" spans="1:6" x14ac:dyDescent="0.25">
      <c r="A359" s="33" t="s">
        <v>765</v>
      </c>
      <c r="B359" s="34" t="s">
        <v>986</v>
      </c>
      <c r="C359" s="30" t="s">
        <v>1468</v>
      </c>
      <c r="D359" s="80" t="s">
        <v>1469</v>
      </c>
      <c r="E359" s="5">
        <f>IF('зведена (БАЛАНС) (2)'!E359&gt;'зведена (БАЛАНС) (2)'!F359,'зведена (БАЛАНС) (2)'!E359-'зведена (БАЛАНС) (2)'!F359,0)</f>
        <v>0</v>
      </c>
      <c r="F359" s="5">
        <f>IF('зведена (БАЛАНС) (2)'!F359&gt;'зведена (БАЛАНС) (2)'!E359,'зведена (БАЛАНС) (2)'!F359-'зведена (БАЛАНС) (2)'!E359,0)</f>
        <v>0</v>
      </c>
    </row>
    <row r="360" spans="1:6" x14ac:dyDescent="0.25">
      <c r="A360" s="33" t="s">
        <v>765</v>
      </c>
      <c r="B360" s="34" t="s">
        <v>986</v>
      </c>
      <c r="C360" s="30" t="s">
        <v>1470</v>
      </c>
      <c r="D360" s="80" t="s">
        <v>1471</v>
      </c>
      <c r="E360" s="5">
        <f>IF('зведена (БАЛАНС) (2)'!E360&gt;'зведена (БАЛАНС) (2)'!F360,'зведена (БАЛАНС) (2)'!E360-'зведена (БАЛАНС) (2)'!F360,0)</f>
        <v>0</v>
      </c>
      <c r="F360" s="5">
        <f>IF('зведена (БАЛАНС) (2)'!F360&gt;'зведена (БАЛАНС) (2)'!E360,'зведена (БАЛАНС) (2)'!F360-'зведена (БАЛАНС) (2)'!E360,0)</f>
        <v>0</v>
      </c>
    </row>
    <row r="361" spans="1:6" x14ac:dyDescent="0.25">
      <c r="A361" s="33" t="s">
        <v>765</v>
      </c>
      <c r="B361" s="34" t="s">
        <v>985</v>
      </c>
      <c r="C361" s="30" t="s">
        <v>1472</v>
      </c>
      <c r="D361" s="80" t="s">
        <v>1473</v>
      </c>
      <c r="E361" s="5">
        <f>IF('зведена (БАЛАНС) (2)'!E361&gt;'зведена (БАЛАНС) (2)'!F361,'зведена (БАЛАНС) (2)'!E361-'зведена (БАЛАНС) (2)'!F361,0)</f>
        <v>713.1</v>
      </c>
      <c r="F361" s="5">
        <f>IF('зведена (БАЛАНС) (2)'!F361&gt;'зведена (БАЛАНС) (2)'!E361,'зведена (БАЛАНС) (2)'!F361-'зведена (БАЛАНС) (2)'!E361,0)</f>
        <v>0</v>
      </c>
    </row>
    <row r="362" spans="1:6" x14ac:dyDescent="0.25">
      <c r="A362" s="33" t="s">
        <v>765</v>
      </c>
      <c r="B362" s="34" t="s">
        <v>985</v>
      </c>
      <c r="C362" s="30" t="s">
        <v>1474</v>
      </c>
      <c r="D362" s="80" t="s">
        <v>1475</v>
      </c>
      <c r="E362" s="5">
        <f>IF('зведена (БАЛАНС) (2)'!E362&gt;'зведена (БАЛАНС) (2)'!F362,'зведена (БАЛАНС) (2)'!E362-'зведена (БАЛАНС) (2)'!F362,0)</f>
        <v>0</v>
      </c>
      <c r="F362" s="5">
        <f>IF('зведена (БАЛАНС) (2)'!F362&gt;'зведена (БАЛАНС) (2)'!E362,'зведена (БАЛАНС) (2)'!F362-'зведена (БАЛАНС) (2)'!E362,0)</f>
        <v>14950.6</v>
      </c>
    </row>
    <row r="363" spans="1:6" x14ac:dyDescent="0.25">
      <c r="A363" s="33" t="s">
        <v>765</v>
      </c>
      <c r="B363" s="34" t="s">
        <v>985</v>
      </c>
      <c r="C363" s="30" t="s">
        <v>1476</v>
      </c>
      <c r="D363" s="80" t="s">
        <v>1477</v>
      </c>
      <c r="E363" s="5">
        <f>IF('зведена (БАЛАНС) (2)'!E363&gt;'зведена (БАЛАНС) (2)'!F363,'зведена (БАЛАНС) (2)'!E363-'зведена (БАЛАНС) (2)'!F363,0)</f>
        <v>0</v>
      </c>
      <c r="F363" s="5">
        <f>IF('зведена (БАЛАНС) (2)'!F363&gt;'зведена (БАЛАНС) (2)'!E363,'зведена (БАЛАНС) (2)'!F363-'зведена (БАЛАНС) (2)'!E363,0)</f>
        <v>6508.5</v>
      </c>
    </row>
    <row r="364" spans="1:6" x14ac:dyDescent="0.25">
      <c r="A364" s="33" t="s">
        <v>765</v>
      </c>
      <c r="B364" s="34" t="s">
        <v>985</v>
      </c>
      <c r="C364" s="30" t="s">
        <v>1478</v>
      </c>
      <c r="D364" s="80" t="s">
        <v>1479</v>
      </c>
      <c r="E364" s="5">
        <f>IF('зведена (БАЛАНС) (2)'!E364&gt;'зведена (БАЛАНС) (2)'!F364,'зведена (БАЛАНС) (2)'!E364-'зведена (БАЛАНС) (2)'!F364,0)</f>
        <v>0</v>
      </c>
      <c r="F364" s="5">
        <f>IF('зведена (БАЛАНС) (2)'!F364&gt;'зведена (БАЛАНС) (2)'!E364,'зведена (БАЛАНС) (2)'!F364-'зведена (БАЛАНС) (2)'!E364,0)</f>
        <v>11553.5</v>
      </c>
    </row>
    <row r="365" spans="1:6" x14ac:dyDescent="0.25">
      <c r="A365" s="33" t="s">
        <v>765</v>
      </c>
      <c r="B365" s="34" t="s">
        <v>984</v>
      </c>
      <c r="C365" s="30" t="s">
        <v>1480</v>
      </c>
      <c r="D365" s="80" t="s">
        <v>1481</v>
      </c>
      <c r="E365" s="5">
        <f>IF('зведена (БАЛАНС) (2)'!E365&gt;'зведена (БАЛАНС) (2)'!F365,'зведена (БАЛАНС) (2)'!E365-'зведена (БАЛАНС) (2)'!F365,0)</f>
        <v>0</v>
      </c>
      <c r="F365" s="5">
        <f>IF('зведена (БАЛАНС) (2)'!F365&gt;'зведена (БАЛАНС) (2)'!E365,'зведена (БАЛАНС) (2)'!F365-'зведена (БАЛАНС) (2)'!E365,0)</f>
        <v>7048.3</v>
      </c>
    </row>
    <row r="366" spans="1:6" x14ac:dyDescent="0.25">
      <c r="A366" s="17" t="s">
        <v>769</v>
      </c>
      <c r="B366" s="17" t="s">
        <v>7</v>
      </c>
      <c r="C366" s="17" t="s">
        <v>770</v>
      </c>
      <c r="D366" s="11" t="s">
        <v>843</v>
      </c>
      <c r="E366" s="11">
        <f>E367+E368+E375</f>
        <v>188462</v>
      </c>
      <c r="F366" s="11">
        <f>F367+F368+F375</f>
        <v>1574370.7999999998</v>
      </c>
    </row>
    <row r="367" spans="1:6" x14ac:dyDescent="0.25">
      <c r="A367" s="33" t="s">
        <v>769</v>
      </c>
      <c r="B367" s="34" t="s">
        <v>6</v>
      </c>
      <c r="C367" s="18" t="s">
        <v>79</v>
      </c>
      <c r="D367" s="32" t="s">
        <v>844</v>
      </c>
      <c r="E367" s="5">
        <f>IF('зведена (БАЛАНС) (2)'!E367&gt;'зведена (БАЛАНС) (2)'!F367,'зведена (БАЛАНС) (2)'!E367-'зведена (БАЛАНС) (2)'!F367,0)</f>
        <v>0</v>
      </c>
      <c r="F367" s="5">
        <f>IF('зведена (БАЛАНС) (2)'!F367&gt;'зведена (БАЛАНС) (2)'!E367,'зведена (БАЛАНС) (2)'!F367-'зведена (БАЛАНС) (2)'!E367,0)</f>
        <v>278030.7</v>
      </c>
    </row>
    <row r="368" spans="1:6" x14ac:dyDescent="0.25">
      <c r="A368" s="19" t="s">
        <v>769</v>
      </c>
      <c r="B368" s="19" t="s">
        <v>5</v>
      </c>
      <c r="C368" s="19" t="s">
        <v>771</v>
      </c>
      <c r="D368" s="7" t="s">
        <v>2799</v>
      </c>
      <c r="E368" s="7">
        <f>SUM(E369:E374)</f>
        <v>0</v>
      </c>
      <c r="F368" s="7">
        <f>SUM(F369:F374)</f>
        <v>0</v>
      </c>
    </row>
    <row r="369" spans="1:6" x14ac:dyDescent="0.25">
      <c r="A369" s="33" t="s">
        <v>769</v>
      </c>
      <c r="B369" s="34" t="s">
        <v>4</v>
      </c>
      <c r="C369" s="18" t="s">
        <v>80</v>
      </c>
      <c r="D369" s="32" t="s">
        <v>900</v>
      </c>
      <c r="E369" s="5">
        <f>IF('зведена (БАЛАНС) (2)'!E369&gt;'зведена (БАЛАНС) (2)'!F369,'зведена (БАЛАНС) (2)'!E369-'зведена (БАЛАНС) (2)'!F369,0)</f>
        <v>0</v>
      </c>
      <c r="F369" s="5">
        <f>IF('зведена (БАЛАНС) (2)'!F369&gt;'зведена (БАЛАНС) (2)'!E369,'зведена (БАЛАНС) (2)'!F369-'зведена (БАЛАНС) (2)'!E369,0)</f>
        <v>0</v>
      </c>
    </row>
    <row r="370" spans="1:6" x14ac:dyDescent="0.25">
      <c r="A370" s="33" t="s">
        <v>769</v>
      </c>
      <c r="B370" s="34" t="s">
        <v>4</v>
      </c>
      <c r="C370" s="18" t="s">
        <v>81</v>
      </c>
      <c r="D370" s="32" t="s">
        <v>901</v>
      </c>
      <c r="E370" s="5">
        <f>IF('зведена (БАЛАНС) (2)'!E370&gt;'зведена (БАЛАНС) (2)'!F370,'зведена (БАЛАНС) (2)'!E370-'зведена (БАЛАНС) (2)'!F370,0)</f>
        <v>0</v>
      </c>
      <c r="F370" s="5">
        <f>IF('зведена (БАЛАНС) (2)'!F370&gt;'зведена (БАЛАНС) (2)'!E370,'зведена (БАЛАНС) (2)'!F370-'зведена (БАЛАНС) (2)'!E370,0)</f>
        <v>0</v>
      </c>
    </row>
    <row r="371" spans="1:6" x14ac:dyDescent="0.25">
      <c r="A371" s="33" t="s">
        <v>769</v>
      </c>
      <c r="B371" s="34" t="s">
        <v>4</v>
      </c>
      <c r="C371" s="18" t="s">
        <v>2741</v>
      </c>
      <c r="D371" s="32" t="s">
        <v>2742</v>
      </c>
      <c r="E371" s="5">
        <f>IF('зведена (БАЛАНС) (2)'!E371&gt;'зведена (БАЛАНС) (2)'!F371,'зведена (БАЛАНС) (2)'!E371-'зведена (БАЛАНС) (2)'!F371,0)</f>
        <v>0</v>
      </c>
      <c r="F371" s="5">
        <f>IF('зведена (БАЛАНС) (2)'!F371&gt;'зведена (БАЛАНС) (2)'!E371,'зведена (БАЛАНС) (2)'!F371-'зведена (БАЛАНС) (2)'!E371,0)</f>
        <v>0</v>
      </c>
    </row>
    <row r="372" spans="1:6" x14ac:dyDescent="0.25">
      <c r="A372" s="33" t="s">
        <v>769</v>
      </c>
      <c r="B372" s="34" t="s">
        <v>4</v>
      </c>
      <c r="C372" s="18" t="s">
        <v>82</v>
      </c>
      <c r="D372" s="32" t="s">
        <v>902</v>
      </c>
      <c r="E372" s="5">
        <f>IF('зведена (БАЛАНС) (2)'!E372&gt;'зведена (БАЛАНС) (2)'!F372,'зведена (БАЛАНС) (2)'!E372-'зведена (БАЛАНС) (2)'!F372,0)</f>
        <v>0</v>
      </c>
      <c r="F372" s="5">
        <f>IF('зведена (БАЛАНС) (2)'!F372&gt;'зведена (БАЛАНС) (2)'!E372,'зведена (БАЛАНС) (2)'!F372-'зведена (БАЛАНС) (2)'!E372,0)</f>
        <v>0</v>
      </c>
    </row>
    <row r="373" spans="1:6" x14ac:dyDescent="0.25">
      <c r="A373" s="33" t="s">
        <v>769</v>
      </c>
      <c r="B373" s="34" t="s">
        <v>4</v>
      </c>
      <c r="C373" s="18" t="s">
        <v>83</v>
      </c>
      <c r="D373" s="32" t="s">
        <v>903</v>
      </c>
      <c r="E373" s="5">
        <f>IF('зведена (БАЛАНС) (2)'!E373&gt;'зведена (БАЛАНС) (2)'!F373,'зведена (БАЛАНС) (2)'!E373-'зведена (БАЛАНС) (2)'!F373,0)</f>
        <v>0</v>
      </c>
      <c r="F373" s="5">
        <f>IF('зведена (БАЛАНС) (2)'!F373&gt;'зведена (БАЛАНС) (2)'!E373,'зведена (БАЛАНС) (2)'!F373-'зведена (БАЛАНС) (2)'!E373,0)</f>
        <v>0</v>
      </c>
    </row>
    <row r="374" spans="1:6" x14ac:dyDescent="0.25">
      <c r="A374" s="33" t="s">
        <v>769</v>
      </c>
      <c r="B374" s="34" t="s">
        <v>4</v>
      </c>
      <c r="C374" s="18" t="s">
        <v>84</v>
      </c>
      <c r="D374" s="32" t="s">
        <v>904</v>
      </c>
      <c r="E374" s="5">
        <f>IF('зведена (БАЛАНС) (2)'!E374&gt;'зведена (БАЛАНС) (2)'!F374,'зведена (БАЛАНС) (2)'!E374-'зведена (БАЛАНС) (2)'!F374,0)</f>
        <v>0</v>
      </c>
      <c r="F374" s="5">
        <f>IF('зведена (БАЛАНС) (2)'!F374&gt;'зведена (БАЛАНС) (2)'!E374,'зведена (БАЛАНС) (2)'!F374-'зведена (БАЛАНС) (2)'!E374,0)</f>
        <v>0</v>
      </c>
    </row>
    <row r="375" spans="1:6" x14ac:dyDescent="0.25">
      <c r="A375" s="19" t="s">
        <v>769</v>
      </c>
      <c r="B375" s="19" t="s">
        <v>28</v>
      </c>
      <c r="C375" s="19" t="s">
        <v>772</v>
      </c>
      <c r="D375" s="20" t="s">
        <v>2773</v>
      </c>
      <c r="E375" s="7">
        <f>SUM(E376:E439)</f>
        <v>188462</v>
      </c>
      <c r="F375" s="7">
        <f>SUM(F376:F439)</f>
        <v>1296340.0999999999</v>
      </c>
    </row>
    <row r="376" spans="1:6" x14ac:dyDescent="0.25">
      <c r="A376" s="33" t="s">
        <v>769</v>
      </c>
      <c r="B376" s="34" t="s">
        <v>984</v>
      </c>
      <c r="C376" s="18" t="s">
        <v>230</v>
      </c>
      <c r="D376" s="32" t="s">
        <v>1482</v>
      </c>
      <c r="E376" s="5">
        <f>IF('зведена (БАЛАНС) (2)'!E376&gt;'зведена (БАЛАНС) (2)'!F376,'зведена (БАЛАНС) (2)'!E376-'зведена (БАЛАНС) (2)'!F376,0)</f>
        <v>0</v>
      </c>
      <c r="F376" s="5">
        <f>IF('зведена (БАЛАНС) (2)'!F376&gt;'зведена (БАЛАНС) (2)'!E376,'зведена (БАЛАНС) (2)'!F376-'зведена (БАЛАНС) (2)'!E376,0)</f>
        <v>22826.3</v>
      </c>
    </row>
    <row r="377" spans="1:6" x14ac:dyDescent="0.25">
      <c r="A377" s="33" t="s">
        <v>769</v>
      </c>
      <c r="B377" s="34" t="s">
        <v>983</v>
      </c>
      <c r="C377" s="18" t="s">
        <v>231</v>
      </c>
      <c r="D377" s="32" t="s">
        <v>1483</v>
      </c>
      <c r="E377" s="5">
        <f>IF('зведена (БАЛАНС) (2)'!E377&gt;'зведена (БАЛАНС) (2)'!F377,'зведена (БАЛАНС) (2)'!E377-'зведена (БАЛАНС) (2)'!F377,0)</f>
        <v>2031.8</v>
      </c>
      <c r="F377" s="5">
        <f>IF('зведена (БАЛАНС) (2)'!F377&gt;'зведена (БАЛАНС) (2)'!E377,'зведена (БАЛАНС) (2)'!F377-'зведена (БАЛАНС) (2)'!E377,0)</f>
        <v>0</v>
      </c>
    </row>
    <row r="378" spans="1:6" x14ac:dyDescent="0.25">
      <c r="A378" s="33" t="s">
        <v>769</v>
      </c>
      <c r="B378" s="34" t="s">
        <v>984</v>
      </c>
      <c r="C378" s="18" t="s">
        <v>362</v>
      </c>
      <c r="D378" s="32" t="s">
        <v>2957</v>
      </c>
      <c r="E378" s="5">
        <f>IF('зведена (БАЛАНС) (2)'!E378&gt;'зведена (БАЛАНС) (2)'!F378,'зведена (БАЛАНС) (2)'!E378-'зведена (БАЛАНС) (2)'!F378,0)</f>
        <v>0</v>
      </c>
      <c r="F378" s="5">
        <f>IF('зведена (БАЛАНС) (2)'!F378&gt;'зведена (БАЛАНС) (2)'!E378,'зведена (БАЛАНС) (2)'!F378-'зведена (БАЛАНС) (2)'!E378,0)</f>
        <v>16351.6</v>
      </c>
    </row>
    <row r="379" spans="1:6" x14ac:dyDescent="0.25">
      <c r="A379" s="33" t="s">
        <v>769</v>
      </c>
      <c r="B379" s="34" t="s">
        <v>983</v>
      </c>
      <c r="C379" s="18" t="s">
        <v>474</v>
      </c>
      <c r="D379" s="32" t="s">
        <v>1485</v>
      </c>
      <c r="E379" s="5">
        <f>IF('зведена (БАЛАНС) (2)'!E379&gt;'зведена (БАЛАНС) (2)'!F379,'зведена (БАЛАНС) (2)'!E379-'зведена (БАЛАНС) (2)'!F379,0)</f>
        <v>0</v>
      </c>
      <c r="F379" s="5">
        <f>IF('зведена (БАЛАНС) (2)'!F379&gt;'зведена (БАЛАНС) (2)'!E379,'зведена (БАЛАНС) (2)'!F379-'зведена (БАЛАНС) (2)'!E379,0)</f>
        <v>35483.199999999997</v>
      </c>
    </row>
    <row r="380" spans="1:6" x14ac:dyDescent="0.25">
      <c r="A380" s="33" t="s">
        <v>769</v>
      </c>
      <c r="B380" s="34" t="s">
        <v>983</v>
      </c>
      <c r="C380" s="18" t="s">
        <v>475</v>
      </c>
      <c r="D380" s="32" t="s">
        <v>1486</v>
      </c>
      <c r="E380" s="5">
        <f>IF('зведена (БАЛАНС) (2)'!E380&gt;'зведена (БАЛАНС) (2)'!F380,'зведена (БАЛАНС) (2)'!E380-'зведена (БАЛАНС) (2)'!F380,0)</f>
        <v>0</v>
      </c>
      <c r="F380" s="5">
        <f>IF('зведена (БАЛАНС) (2)'!F380&gt;'зведена (БАЛАНС) (2)'!E380,'зведена (БАЛАНС) (2)'!F380-'зведена (БАЛАНС) (2)'!E380,0)</f>
        <v>1213</v>
      </c>
    </row>
    <row r="381" spans="1:6" x14ac:dyDescent="0.25">
      <c r="A381" s="33" t="s">
        <v>769</v>
      </c>
      <c r="B381" s="34" t="s">
        <v>984</v>
      </c>
      <c r="C381" s="18" t="s">
        <v>550</v>
      </c>
      <c r="D381" s="32" t="s">
        <v>1487</v>
      </c>
      <c r="E381" s="5">
        <f>IF('зведена (БАЛАНС) (2)'!E381&gt;'зведена (БАЛАНС) (2)'!F381,'зведена (БАЛАНС) (2)'!E381-'зведена (БАЛАНС) (2)'!F381,0)</f>
        <v>0</v>
      </c>
      <c r="F381" s="5">
        <f>IF('зведена (БАЛАНС) (2)'!F381&gt;'зведена (БАЛАНС) (2)'!E381,'зведена (БАЛАНС) (2)'!F381-'зведена (БАЛАНС) (2)'!E381,0)</f>
        <v>9183</v>
      </c>
    </row>
    <row r="382" spans="1:6" s="28" customFormat="1" x14ac:dyDescent="0.25">
      <c r="A382" s="33" t="s">
        <v>769</v>
      </c>
      <c r="B382" s="34" t="s">
        <v>986</v>
      </c>
      <c r="C382" s="30" t="s">
        <v>978</v>
      </c>
      <c r="D382" s="32" t="s">
        <v>2958</v>
      </c>
      <c r="E382" s="5">
        <f>IF('зведена (БАЛАНС) (2)'!E382&gt;'зведена (БАЛАНС) (2)'!F382,'зведена (БАЛАНС) (2)'!E382-'зведена (БАЛАНС) (2)'!F382,0)</f>
        <v>18586</v>
      </c>
      <c r="F382" s="5">
        <f>IF('зведена (БАЛАНС) (2)'!F382&gt;'зведена (БАЛАНС) (2)'!E382,'зведена (БАЛАНС) (2)'!F382-'зведена (БАЛАНС) (2)'!E382,0)</f>
        <v>0</v>
      </c>
    </row>
    <row r="383" spans="1:6" s="28" customFormat="1" ht="16.5" customHeight="1" x14ac:dyDescent="0.25">
      <c r="A383" s="33" t="s">
        <v>769</v>
      </c>
      <c r="B383" s="34" t="s">
        <v>985</v>
      </c>
      <c r="C383" s="30" t="s">
        <v>1489</v>
      </c>
      <c r="D383" s="32" t="s">
        <v>2959</v>
      </c>
      <c r="E383" s="5">
        <f>IF('зведена (БАЛАНС) (2)'!E383&gt;'зведена (БАЛАНС) (2)'!F383,'зведена (БАЛАНС) (2)'!E383-'зведена (БАЛАНС) (2)'!F383,0)</f>
        <v>0</v>
      </c>
      <c r="F383" s="5">
        <f>IF('зведена (БАЛАНС) (2)'!F383&gt;'зведена (БАЛАНС) (2)'!E383,'зведена (БАЛАНС) (2)'!F383-'зведена (БАЛАНС) (2)'!E383,0)</f>
        <v>773.5</v>
      </c>
    </row>
    <row r="384" spans="1:6" s="28" customFormat="1" x14ac:dyDescent="0.25">
      <c r="A384" s="33" t="s">
        <v>769</v>
      </c>
      <c r="B384" s="34" t="s">
        <v>984</v>
      </c>
      <c r="C384" s="30" t="s">
        <v>1491</v>
      </c>
      <c r="D384" s="32" t="s">
        <v>1492</v>
      </c>
      <c r="E384" s="5">
        <f>IF('зведена (БАЛАНС) (2)'!E384&gt;'зведена (БАЛАНС) (2)'!F384,'зведена (БАЛАНС) (2)'!E384-'зведена (БАЛАНС) (2)'!F384,0)</f>
        <v>0</v>
      </c>
      <c r="F384" s="5">
        <f>IF('зведена (БАЛАНС) (2)'!F384&gt;'зведена (БАЛАНС) (2)'!E384,'зведена (БАЛАНС) (2)'!F384-'зведена (БАЛАНС) (2)'!E384,0)</f>
        <v>16955.7</v>
      </c>
    </row>
    <row r="385" spans="1:6" s="28" customFormat="1" x14ac:dyDescent="0.25">
      <c r="A385" s="33" t="s">
        <v>769</v>
      </c>
      <c r="B385" s="34" t="s">
        <v>984</v>
      </c>
      <c r="C385" s="30" t="s">
        <v>1493</v>
      </c>
      <c r="D385" s="32" t="s">
        <v>2960</v>
      </c>
      <c r="E385" s="5">
        <f>IF('зведена (БАЛАНС) (2)'!E385&gt;'зведена (БАЛАНС) (2)'!F385,'зведена (БАЛАНС) (2)'!E385-'зведена (БАЛАНС) (2)'!F385,0)</f>
        <v>0</v>
      </c>
      <c r="F385" s="5">
        <f>IF('зведена (БАЛАНС) (2)'!F385&gt;'зведена (БАЛАНС) (2)'!E385,'зведена (БАЛАНС) (2)'!F385-'зведена (БАЛАНС) (2)'!E385,0)</f>
        <v>31629.1</v>
      </c>
    </row>
    <row r="386" spans="1:6" s="28" customFormat="1" x14ac:dyDescent="0.25">
      <c r="A386" s="33" t="s">
        <v>769</v>
      </c>
      <c r="B386" s="34" t="s">
        <v>984</v>
      </c>
      <c r="C386" s="30" t="s">
        <v>1039</v>
      </c>
      <c r="D386" s="32" t="s">
        <v>2961</v>
      </c>
      <c r="E386" s="5">
        <f>IF('зведена (БАЛАНС) (2)'!E386&gt;'зведена (БАЛАНС) (2)'!F386,'зведена (БАЛАНС) (2)'!E386-'зведена (БАЛАНС) (2)'!F386,0)</f>
        <v>0</v>
      </c>
      <c r="F386" s="5">
        <f>IF('зведена (БАЛАНС) (2)'!F386&gt;'зведена (БАЛАНС) (2)'!E386,'зведена (БАЛАНС) (2)'!F386-'зведена (БАЛАНС) (2)'!E386,0)</f>
        <v>12267.1</v>
      </c>
    </row>
    <row r="387" spans="1:6" s="28" customFormat="1" x14ac:dyDescent="0.25">
      <c r="A387" s="33" t="s">
        <v>769</v>
      </c>
      <c r="B387" s="34" t="s">
        <v>984</v>
      </c>
      <c r="C387" s="30" t="s">
        <v>1040</v>
      </c>
      <c r="D387" s="32" t="s">
        <v>2836</v>
      </c>
      <c r="E387" s="5">
        <f>IF('зведена (БАЛАНС) (2)'!E387&gt;'зведена (БАЛАНС) (2)'!F387,'зведена (БАЛАНС) (2)'!E387-'зведена (БАЛАНС) (2)'!F387,0)</f>
        <v>0</v>
      </c>
      <c r="F387" s="5">
        <f>IF('зведена (БАЛАНС) (2)'!F387&gt;'зведена (БАЛАНС) (2)'!E387,'зведена (БАЛАНС) (2)'!F387-'зведена (БАЛАНС) (2)'!E387,0)</f>
        <v>18061</v>
      </c>
    </row>
    <row r="388" spans="1:6" s="28" customFormat="1" x14ac:dyDescent="0.25">
      <c r="A388" s="33" t="s">
        <v>769</v>
      </c>
      <c r="B388" s="34" t="s">
        <v>984</v>
      </c>
      <c r="C388" s="30" t="s">
        <v>1497</v>
      </c>
      <c r="D388" s="32" t="s">
        <v>2962</v>
      </c>
      <c r="E388" s="5">
        <f>IF('зведена (БАЛАНС) (2)'!E388&gt;'зведена (БАЛАНС) (2)'!F388,'зведена (БАЛАНС) (2)'!E388-'зведена (БАЛАНС) (2)'!F388,0)</f>
        <v>0</v>
      </c>
      <c r="F388" s="5">
        <f>IF('зведена (БАЛАНС) (2)'!F388&gt;'зведена (БАЛАНС) (2)'!E388,'зведена (БАЛАНС) (2)'!F388-'зведена (БАЛАНС) (2)'!E388,0)</f>
        <v>30348.799999999999</v>
      </c>
    </row>
    <row r="389" spans="1:6" s="28" customFormat="1" x14ac:dyDescent="0.25">
      <c r="A389" s="33" t="s">
        <v>769</v>
      </c>
      <c r="B389" s="34" t="s">
        <v>984</v>
      </c>
      <c r="C389" s="30" t="s">
        <v>1041</v>
      </c>
      <c r="D389" s="32" t="s">
        <v>2963</v>
      </c>
      <c r="E389" s="5">
        <f>IF('зведена (БАЛАНС) (2)'!E389&gt;'зведена (БАЛАНС) (2)'!F389,'зведена (БАЛАНС) (2)'!E389-'зведена (БАЛАНС) (2)'!F389,0)</f>
        <v>0</v>
      </c>
      <c r="F389" s="5">
        <f>IF('зведена (БАЛАНС) (2)'!F389&gt;'зведена (БАЛАНС) (2)'!E389,'зведена (БАЛАНС) (2)'!F389-'зведена (БАЛАНС) (2)'!E389,0)</f>
        <v>4978.2</v>
      </c>
    </row>
    <row r="390" spans="1:6" s="28" customFormat="1" x14ac:dyDescent="0.25">
      <c r="A390" s="33" t="s">
        <v>769</v>
      </c>
      <c r="B390" s="34" t="s">
        <v>984</v>
      </c>
      <c r="C390" s="30" t="s">
        <v>1500</v>
      </c>
      <c r="D390" s="32" t="s">
        <v>2964</v>
      </c>
      <c r="E390" s="5">
        <f>IF('зведена (БАЛАНС) (2)'!E390&gt;'зведена (БАЛАНС) (2)'!F390,'зведена (БАЛАНС) (2)'!E390-'зведена (БАЛАНС) (2)'!F390,0)</f>
        <v>1368.8</v>
      </c>
      <c r="F390" s="5">
        <f>IF('зведена (БАЛАНС) (2)'!F390&gt;'зведена (БАЛАНС) (2)'!E390,'зведена (БАЛАНС) (2)'!F390-'зведена (БАЛАНС) (2)'!E390,0)</f>
        <v>0</v>
      </c>
    </row>
    <row r="391" spans="1:6" s="28" customFormat="1" x14ac:dyDescent="0.25">
      <c r="A391" s="33" t="s">
        <v>769</v>
      </c>
      <c r="B391" s="34" t="s">
        <v>984</v>
      </c>
      <c r="C391" s="30" t="s">
        <v>1502</v>
      </c>
      <c r="D391" s="32" t="s">
        <v>2965</v>
      </c>
      <c r="E391" s="5">
        <f>IF('зведена (БАЛАНС) (2)'!E391&gt;'зведена (БАЛАНС) (2)'!F391,'зведена (БАЛАНС) (2)'!E391-'зведена (БАЛАНС) (2)'!F391,0)</f>
        <v>25789.1</v>
      </c>
      <c r="F391" s="5">
        <f>IF('зведена (БАЛАНС) (2)'!F391&gt;'зведена (БАЛАНС) (2)'!E391,'зведена (БАЛАНС) (2)'!F391-'зведена (БАЛАНС) (2)'!E391,0)</f>
        <v>0</v>
      </c>
    </row>
    <row r="392" spans="1:6" s="28" customFormat="1" x14ac:dyDescent="0.25">
      <c r="A392" s="33" t="s">
        <v>769</v>
      </c>
      <c r="B392" s="34" t="s">
        <v>986</v>
      </c>
      <c r="C392" s="30" t="s">
        <v>1504</v>
      </c>
      <c r="D392" s="32" t="s">
        <v>2966</v>
      </c>
      <c r="E392" s="5">
        <f>IF('зведена (БАЛАНС) (2)'!E392&gt;'зведена (БАЛАНС) (2)'!F392,'зведена (БАЛАНС) (2)'!E392-'зведена (БАЛАНС) (2)'!F392,0)</f>
        <v>0</v>
      </c>
      <c r="F392" s="5">
        <f>IF('зведена (БАЛАНС) (2)'!F392&gt;'зведена (БАЛАНС) (2)'!E392,'зведена (БАЛАНС) (2)'!F392-'зведена (БАЛАНС) (2)'!E392,0)</f>
        <v>21340</v>
      </c>
    </row>
    <row r="393" spans="1:6" s="28" customFormat="1" x14ac:dyDescent="0.25">
      <c r="A393" s="33" t="s">
        <v>769</v>
      </c>
      <c r="B393" s="34" t="s">
        <v>985</v>
      </c>
      <c r="C393" s="30" t="s">
        <v>1506</v>
      </c>
      <c r="D393" s="32" t="s">
        <v>1507</v>
      </c>
      <c r="E393" s="5">
        <f>IF('зведена (БАЛАНС) (2)'!E393&gt;'зведена (БАЛАНС) (2)'!F393,'зведена (БАЛАНС) (2)'!E393-'зведена (БАЛАНС) (2)'!F393,0)</f>
        <v>0</v>
      </c>
      <c r="F393" s="5">
        <f>IF('зведена (БАЛАНС) (2)'!F393&gt;'зведена (БАЛАНС) (2)'!E393,'зведена (БАЛАНС) (2)'!F393-'зведена (БАЛАНС) (2)'!E393,0)</f>
        <v>18735.599999999999</v>
      </c>
    </row>
    <row r="394" spans="1:6" s="28" customFormat="1" x14ac:dyDescent="0.25">
      <c r="A394" s="33" t="s">
        <v>769</v>
      </c>
      <c r="B394" s="34" t="s">
        <v>984</v>
      </c>
      <c r="C394" s="30" t="s">
        <v>1508</v>
      </c>
      <c r="D394" s="32" t="s">
        <v>1509</v>
      </c>
      <c r="E394" s="5">
        <f>IF('зведена (БАЛАНС) (2)'!E394&gt;'зведена (БАЛАНС) (2)'!F394,'зведена (БАЛАНС) (2)'!E394-'зведена (БАЛАНС) (2)'!F394,0)</f>
        <v>0</v>
      </c>
      <c r="F394" s="5">
        <f>IF('зведена (БАЛАНС) (2)'!F394&gt;'зведена (БАЛАНС) (2)'!E394,'зведена (БАЛАНС) (2)'!F394-'зведена (БАЛАНС) (2)'!E394,0)</f>
        <v>12224.7</v>
      </c>
    </row>
    <row r="395" spans="1:6" s="28" customFormat="1" x14ac:dyDescent="0.25">
      <c r="A395" s="33" t="s">
        <v>769</v>
      </c>
      <c r="B395" s="34" t="s">
        <v>984</v>
      </c>
      <c r="C395" s="30" t="s">
        <v>1510</v>
      </c>
      <c r="D395" s="32" t="s">
        <v>1511</v>
      </c>
      <c r="E395" s="5">
        <f>IF('зведена (БАЛАНС) (2)'!E395&gt;'зведена (БАЛАНС) (2)'!F395,'зведена (БАЛАНС) (2)'!E395-'зведена (БАЛАНС) (2)'!F395,0)</f>
        <v>0</v>
      </c>
      <c r="F395" s="5">
        <f>IF('зведена (БАЛАНС) (2)'!F395&gt;'зведена (БАЛАНС) (2)'!E395,'зведена (БАЛАНС) (2)'!F395-'зведена (БАЛАНС) (2)'!E395,0)</f>
        <v>37876.5</v>
      </c>
    </row>
    <row r="396" spans="1:6" s="28" customFormat="1" x14ac:dyDescent="0.25">
      <c r="A396" s="33" t="s">
        <v>769</v>
      </c>
      <c r="B396" s="34" t="s">
        <v>984</v>
      </c>
      <c r="C396" s="30" t="s">
        <v>1512</v>
      </c>
      <c r="D396" s="32" t="s">
        <v>1513</v>
      </c>
      <c r="E396" s="5">
        <f>IF('зведена (БАЛАНС) (2)'!E396&gt;'зведена (БАЛАНС) (2)'!F396,'зведена (БАЛАНС) (2)'!E396-'зведена (БАЛАНС) (2)'!F396,0)</f>
        <v>0</v>
      </c>
      <c r="F396" s="5">
        <f>IF('зведена (БАЛАНС) (2)'!F396&gt;'зведена (БАЛАНС) (2)'!E396,'зведена (БАЛАНС) (2)'!F396-'зведена (БАЛАНС) (2)'!E396,0)</f>
        <v>16402</v>
      </c>
    </row>
    <row r="397" spans="1:6" s="28" customFormat="1" x14ac:dyDescent="0.25">
      <c r="A397" s="33" t="s">
        <v>769</v>
      </c>
      <c r="B397" s="34" t="s">
        <v>985</v>
      </c>
      <c r="C397" s="30" t="s">
        <v>1514</v>
      </c>
      <c r="D397" s="32" t="s">
        <v>1515</v>
      </c>
      <c r="E397" s="5">
        <f>IF('зведена (БАЛАНС) (2)'!E397&gt;'зведена (БАЛАНС) (2)'!F397,'зведена (БАЛАНС) (2)'!E397-'зведена (БАЛАНС) (2)'!F397,0)</f>
        <v>0</v>
      </c>
      <c r="F397" s="5">
        <f>IF('зведена (БАЛАНС) (2)'!F397&gt;'зведена (БАЛАНС) (2)'!E397,'зведена (БАЛАНС) (2)'!F397-'зведена (БАЛАНС) (2)'!E397,0)</f>
        <v>49339.5</v>
      </c>
    </row>
    <row r="398" spans="1:6" s="28" customFormat="1" x14ac:dyDescent="0.25">
      <c r="A398" s="33" t="s">
        <v>769</v>
      </c>
      <c r="B398" s="34" t="s">
        <v>984</v>
      </c>
      <c r="C398" s="30" t="s">
        <v>1516</v>
      </c>
      <c r="D398" s="32" t="s">
        <v>1517</v>
      </c>
      <c r="E398" s="5">
        <f>IF('зведена (БАЛАНС) (2)'!E398&gt;'зведена (БАЛАНС) (2)'!F398,'зведена (БАЛАНС) (2)'!E398-'зведена (БАЛАНС) (2)'!F398,0)</f>
        <v>0</v>
      </c>
      <c r="F398" s="5">
        <f>IF('зведена (БАЛАНС) (2)'!F398&gt;'зведена (БАЛАНС) (2)'!E398,'зведена (БАЛАНС) (2)'!F398-'зведена (БАЛАНС) (2)'!E398,0)</f>
        <v>9833.7000000000007</v>
      </c>
    </row>
    <row r="399" spans="1:6" s="28" customFormat="1" x14ac:dyDescent="0.25">
      <c r="A399" s="33" t="s">
        <v>769</v>
      </c>
      <c r="B399" s="34" t="s">
        <v>984</v>
      </c>
      <c r="C399" s="30" t="s">
        <v>1518</v>
      </c>
      <c r="D399" s="32" t="s">
        <v>1519</v>
      </c>
      <c r="E399" s="5">
        <f>IF('зведена (БАЛАНС) (2)'!E399&gt;'зведена (БАЛАНС) (2)'!F399,'зведена (БАЛАНС) (2)'!E399-'зведена (БАЛАНС) (2)'!F399,0)</f>
        <v>0</v>
      </c>
      <c r="F399" s="5">
        <f>IF('зведена (БАЛАНС) (2)'!F399&gt;'зведена (БАЛАНС) (2)'!E399,'зведена (БАЛАНС) (2)'!F399-'зведена (БАЛАНС) (2)'!E399,0)</f>
        <v>10619.4</v>
      </c>
    </row>
    <row r="400" spans="1:6" s="28" customFormat="1" x14ac:dyDescent="0.25">
      <c r="A400" s="33" t="s">
        <v>769</v>
      </c>
      <c r="B400" s="34" t="s">
        <v>985</v>
      </c>
      <c r="C400" s="30" t="s">
        <v>1520</v>
      </c>
      <c r="D400" s="32" t="s">
        <v>1521</v>
      </c>
      <c r="E400" s="5">
        <f>IF('зведена (БАЛАНС) (2)'!E400&gt;'зведена (БАЛАНС) (2)'!F400,'зведена (БАЛАНС) (2)'!E400-'зведена (БАЛАНС) (2)'!F400,0)</f>
        <v>0</v>
      </c>
      <c r="F400" s="5">
        <f>IF('зведена (БАЛАНС) (2)'!F400&gt;'зведена (БАЛАНС) (2)'!E400,'зведена (БАЛАНС) (2)'!F400-'зведена (БАЛАНС) (2)'!E400,0)</f>
        <v>48091.199999999997</v>
      </c>
    </row>
    <row r="401" spans="1:6" s="28" customFormat="1" x14ac:dyDescent="0.25">
      <c r="A401" s="33" t="s">
        <v>769</v>
      </c>
      <c r="B401" s="34" t="s">
        <v>984</v>
      </c>
      <c r="C401" s="30" t="s">
        <v>1522</v>
      </c>
      <c r="D401" s="32" t="s">
        <v>1523</v>
      </c>
      <c r="E401" s="5">
        <f>IF('зведена (БАЛАНС) (2)'!E401&gt;'зведена (БАЛАНС) (2)'!F401,'зведена (БАЛАНС) (2)'!E401-'зведена (БАЛАНС) (2)'!F401,0)</f>
        <v>0</v>
      </c>
      <c r="F401" s="5">
        <f>IF('зведена (БАЛАНС) (2)'!F401&gt;'зведена (БАЛАНС) (2)'!E401,'зведена (БАЛАНС) (2)'!F401-'зведена (БАЛАНС) (2)'!E401,0)</f>
        <v>21121.200000000001</v>
      </c>
    </row>
    <row r="402" spans="1:6" s="28" customFormat="1" x14ac:dyDescent="0.25">
      <c r="A402" s="33" t="s">
        <v>769</v>
      </c>
      <c r="B402" s="34" t="s">
        <v>984</v>
      </c>
      <c r="C402" s="30" t="s">
        <v>1524</v>
      </c>
      <c r="D402" s="32" t="s">
        <v>1525</v>
      </c>
      <c r="E402" s="5">
        <f>IF('зведена (БАЛАНС) (2)'!E402&gt;'зведена (БАЛАНС) (2)'!F402,'зведена (БАЛАНС) (2)'!E402-'зведена (БАЛАНС) (2)'!F402,0)</f>
        <v>0</v>
      </c>
      <c r="F402" s="5">
        <f>IF('зведена (БАЛАНС) (2)'!F402&gt;'зведена (БАЛАНС) (2)'!E402,'зведена (БАЛАНС) (2)'!F402-'зведена (БАЛАНС) (2)'!E402,0)</f>
        <v>34677.800000000003</v>
      </c>
    </row>
    <row r="403" spans="1:6" s="28" customFormat="1" x14ac:dyDescent="0.25">
      <c r="A403" s="33" t="s">
        <v>769</v>
      </c>
      <c r="B403" s="34" t="s">
        <v>984</v>
      </c>
      <c r="C403" s="30" t="s">
        <v>1526</v>
      </c>
      <c r="D403" s="32" t="s">
        <v>1527</v>
      </c>
      <c r="E403" s="5">
        <f>IF('зведена (БАЛАНС) (2)'!E403&gt;'зведена (БАЛАНС) (2)'!F403,'зведена (БАЛАНС) (2)'!E403-'зведена (БАЛАНС) (2)'!F403,0)</f>
        <v>0</v>
      </c>
      <c r="F403" s="5">
        <f>IF('зведена (БАЛАНС) (2)'!F403&gt;'зведена (БАЛАНС) (2)'!E403,'зведена (БАЛАНС) (2)'!F403-'зведена (БАЛАНС) (2)'!E403,0)</f>
        <v>11232.8</v>
      </c>
    </row>
    <row r="404" spans="1:6" s="28" customFormat="1" x14ac:dyDescent="0.25">
      <c r="A404" s="33" t="s">
        <v>769</v>
      </c>
      <c r="B404" s="34" t="s">
        <v>985</v>
      </c>
      <c r="C404" s="30" t="s">
        <v>1528</v>
      </c>
      <c r="D404" s="32" t="s">
        <v>1529</v>
      </c>
      <c r="E404" s="5">
        <f>IF('зведена (БАЛАНС) (2)'!E404&gt;'зведена (БАЛАНС) (2)'!F404,'зведена (БАЛАНС) (2)'!E404-'зведена (БАЛАНС) (2)'!F404,0)</f>
        <v>0</v>
      </c>
      <c r="F404" s="5">
        <f>IF('зведена (БАЛАНС) (2)'!F404&gt;'зведена (БАЛАНС) (2)'!E404,'зведена (БАЛАНС) (2)'!F404-'зведена (БАЛАНС) (2)'!E404,0)</f>
        <v>25389.599999999999</v>
      </c>
    </row>
    <row r="405" spans="1:6" s="28" customFormat="1" x14ac:dyDescent="0.25">
      <c r="A405" s="33" t="s">
        <v>769</v>
      </c>
      <c r="B405" s="34" t="s">
        <v>983</v>
      </c>
      <c r="C405" s="30" t="s">
        <v>1530</v>
      </c>
      <c r="D405" s="32" t="s">
        <v>1531</v>
      </c>
      <c r="E405" s="5">
        <f>IF('зведена (БАЛАНС) (2)'!E405&gt;'зведена (БАЛАНС) (2)'!F405,'зведена (БАЛАНС) (2)'!E405-'зведена (БАЛАНС) (2)'!F405,0)</f>
        <v>0</v>
      </c>
      <c r="F405" s="5">
        <f>IF('зведена (БАЛАНС) (2)'!F405&gt;'зведена (БАЛАНС) (2)'!E405,'зведена (БАЛАНС) (2)'!F405-'зведена (БАЛАНС) (2)'!E405,0)</f>
        <v>31994.5</v>
      </c>
    </row>
    <row r="406" spans="1:6" s="28" customFormat="1" x14ac:dyDescent="0.25">
      <c r="A406" s="33" t="s">
        <v>769</v>
      </c>
      <c r="B406" s="34" t="s">
        <v>985</v>
      </c>
      <c r="C406" s="30" t="s">
        <v>1532</v>
      </c>
      <c r="D406" s="32" t="s">
        <v>1533</v>
      </c>
      <c r="E406" s="5">
        <f>IF('зведена (БАЛАНС) (2)'!E406&gt;'зведена (БАЛАНС) (2)'!F406,'зведена (БАЛАНС) (2)'!E406-'зведена (БАЛАНС) (2)'!F406,0)</f>
        <v>0</v>
      </c>
      <c r="F406" s="5">
        <f>IF('зведена (БАЛАНС) (2)'!F406&gt;'зведена (БАЛАНС) (2)'!E406,'зведена (БАЛАНС) (2)'!F406-'зведена (БАЛАНС) (2)'!E406,0)</f>
        <v>29834.400000000001</v>
      </c>
    </row>
    <row r="407" spans="1:6" s="28" customFormat="1" x14ac:dyDescent="0.25">
      <c r="A407" s="33" t="s">
        <v>769</v>
      </c>
      <c r="B407" s="34" t="s">
        <v>985</v>
      </c>
      <c r="C407" s="30" t="s">
        <v>1534</v>
      </c>
      <c r="D407" s="32" t="s">
        <v>1535</v>
      </c>
      <c r="E407" s="5">
        <f>IF('зведена (БАЛАНС) (2)'!E407&gt;'зведена (БАЛАНС) (2)'!F407,'зведена (БАЛАНС) (2)'!E407-'зведена (БАЛАНС) (2)'!F407,0)</f>
        <v>0</v>
      </c>
      <c r="F407" s="5">
        <f>IF('зведена (БАЛАНС) (2)'!F407&gt;'зведена (БАЛАНС) (2)'!E407,'зведена (БАЛАНС) (2)'!F407-'зведена (БАЛАНС) (2)'!E407,0)</f>
        <v>1426</v>
      </c>
    </row>
    <row r="408" spans="1:6" s="28" customFormat="1" x14ac:dyDescent="0.25">
      <c r="A408" s="33" t="s">
        <v>769</v>
      </c>
      <c r="B408" s="34" t="s">
        <v>984</v>
      </c>
      <c r="C408" s="30" t="s">
        <v>1536</v>
      </c>
      <c r="D408" s="32" t="s">
        <v>1537</v>
      </c>
      <c r="E408" s="5">
        <f>IF('зведена (БАЛАНС) (2)'!E408&gt;'зведена (БАЛАНС) (2)'!F408,'зведена (БАЛАНС) (2)'!E408-'зведена (БАЛАНС) (2)'!F408,0)</f>
        <v>0</v>
      </c>
      <c r="F408" s="5">
        <f>IF('зведена (БАЛАНС) (2)'!F408&gt;'зведена (БАЛАНС) (2)'!E408,'зведена (БАЛАНС) (2)'!F408-'зведена (БАЛАНС) (2)'!E408,0)</f>
        <v>23153.9</v>
      </c>
    </row>
    <row r="409" spans="1:6" s="28" customFormat="1" x14ac:dyDescent="0.25">
      <c r="A409" s="33" t="s">
        <v>769</v>
      </c>
      <c r="B409" s="34" t="s">
        <v>984</v>
      </c>
      <c r="C409" s="30" t="s">
        <v>1538</v>
      </c>
      <c r="D409" s="32" t="s">
        <v>1539</v>
      </c>
      <c r="E409" s="5">
        <f>IF('зведена (БАЛАНС) (2)'!E409&gt;'зведена (БАЛАНС) (2)'!F409,'зведена (БАЛАНС) (2)'!E409-'зведена (БАЛАНС) (2)'!F409,0)</f>
        <v>0</v>
      </c>
      <c r="F409" s="5">
        <f>IF('зведена (БАЛАНС) (2)'!F409&gt;'зведена (БАЛАНС) (2)'!E409,'зведена (БАЛАНС) (2)'!F409-'зведена (БАЛАНС) (2)'!E409,0)</f>
        <v>25902.2</v>
      </c>
    </row>
    <row r="410" spans="1:6" s="28" customFormat="1" x14ac:dyDescent="0.25">
      <c r="A410" s="33" t="s">
        <v>769</v>
      </c>
      <c r="B410" s="34" t="s">
        <v>985</v>
      </c>
      <c r="C410" s="30" t="s">
        <v>1540</v>
      </c>
      <c r="D410" s="32" t="s">
        <v>1541</v>
      </c>
      <c r="E410" s="5">
        <f>IF('зведена (БАЛАНС) (2)'!E410&gt;'зведена (БАЛАНС) (2)'!F410,'зведена (БАЛАНС) (2)'!E410-'зведена (БАЛАНС) (2)'!F410,0)</f>
        <v>0</v>
      </c>
      <c r="F410" s="5">
        <f>IF('зведена (БАЛАНС) (2)'!F410&gt;'зведена (БАЛАНС) (2)'!E410,'зведена (БАЛАНС) (2)'!F410-'зведена (БАЛАНС) (2)'!E410,0)</f>
        <v>33955.5</v>
      </c>
    </row>
    <row r="411" spans="1:6" s="28" customFormat="1" ht="31.5" x14ac:dyDescent="0.25">
      <c r="A411" s="33" t="s">
        <v>769</v>
      </c>
      <c r="B411" s="34" t="s">
        <v>984</v>
      </c>
      <c r="C411" s="30" t="s">
        <v>1542</v>
      </c>
      <c r="D411" s="32" t="s">
        <v>1543</v>
      </c>
      <c r="E411" s="5">
        <f>IF('зведена (БАЛАНС) (2)'!E411&gt;'зведена (БАЛАНС) (2)'!F411,'зведена (БАЛАНС) (2)'!E411-'зведена (БАЛАНС) (2)'!F411,0)</f>
        <v>0</v>
      </c>
      <c r="F411" s="5">
        <f>IF('зведена (БАЛАНС) (2)'!F411&gt;'зведена (БАЛАНС) (2)'!E411,'зведена (БАЛАНС) (2)'!F411-'зведена (БАЛАНС) (2)'!E411,0)</f>
        <v>10130.5</v>
      </c>
    </row>
    <row r="412" spans="1:6" s="28" customFormat="1" x14ac:dyDescent="0.25">
      <c r="A412" s="33" t="s">
        <v>769</v>
      </c>
      <c r="B412" s="34" t="s">
        <v>985</v>
      </c>
      <c r="C412" s="30" t="s">
        <v>1544</v>
      </c>
      <c r="D412" s="32" t="s">
        <v>1545</v>
      </c>
      <c r="E412" s="5">
        <f>IF('зведена (БАЛАНС) (2)'!E412&gt;'зведена (БАЛАНС) (2)'!F412,'зведена (БАЛАНС) (2)'!E412-'зведена (БАЛАНС) (2)'!F412,0)</f>
        <v>0</v>
      </c>
      <c r="F412" s="5">
        <f>IF('зведена (БАЛАНС) (2)'!F412&gt;'зведена (БАЛАНС) (2)'!E412,'зведена (БАЛАНС) (2)'!F412-'зведена (БАЛАНС) (2)'!E412,0)</f>
        <v>7760.6</v>
      </c>
    </row>
    <row r="413" spans="1:6" s="28" customFormat="1" x14ac:dyDescent="0.25">
      <c r="A413" s="33" t="s">
        <v>769</v>
      </c>
      <c r="B413" s="34" t="s">
        <v>984</v>
      </c>
      <c r="C413" s="30" t="s">
        <v>1546</v>
      </c>
      <c r="D413" s="32" t="s">
        <v>1547</v>
      </c>
      <c r="E413" s="5">
        <f>IF('зведена (БАЛАНС) (2)'!E413&gt;'зведена (БАЛАНС) (2)'!F413,'зведена (БАЛАНС) (2)'!E413-'зведена (БАЛАНС) (2)'!F413,0)</f>
        <v>0</v>
      </c>
      <c r="F413" s="5">
        <f>IF('зведена (БАЛАНС) (2)'!F413&gt;'зведена (БАЛАНС) (2)'!E413,'зведена (БАЛАНС) (2)'!F413-'зведена (БАЛАНС) (2)'!E413,0)</f>
        <v>12871.9</v>
      </c>
    </row>
    <row r="414" spans="1:6" s="28" customFormat="1" x14ac:dyDescent="0.25">
      <c r="A414" s="33" t="s">
        <v>769</v>
      </c>
      <c r="B414" s="34" t="s">
        <v>984</v>
      </c>
      <c r="C414" s="30" t="s">
        <v>1548</v>
      </c>
      <c r="D414" s="32" t="s">
        <v>1549</v>
      </c>
      <c r="E414" s="5">
        <f>IF('зведена (БАЛАНС) (2)'!E414&gt;'зведена (БАЛАНС) (2)'!F414,'зведена (БАЛАНС) (2)'!E414-'зведена (БАЛАНС) (2)'!F414,0)</f>
        <v>0</v>
      </c>
      <c r="F414" s="5">
        <f>IF('зведена (БАЛАНС) (2)'!F414&gt;'зведена (БАЛАНС) (2)'!E414,'зведена (БАЛАНС) (2)'!F414-'зведена (БАЛАНС) (2)'!E414,0)</f>
        <v>16250.4</v>
      </c>
    </row>
    <row r="415" spans="1:6" s="28" customFormat="1" x14ac:dyDescent="0.25">
      <c r="A415" s="33" t="s">
        <v>769</v>
      </c>
      <c r="B415" s="34" t="s">
        <v>985</v>
      </c>
      <c r="C415" s="30" t="s">
        <v>1550</v>
      </c>
      <c r="D415" s="32" t="s">
        <v>1551</v>
      </c>
      <c r="E415" s="5">
        <f>IF('зведена (БАЛАНС) (2)'!E415&gt;'зведена (БАЛАНС) (2)'!F415,'зведена (БАЛАНС) (2)'!E415-'зведена (БАЛАНС) (2)'!F415,0)</f>
        <v>0</v>
      </c>
      <c r="F415" s="5">
        <f>IF('зведена (БАЛАНС) (2)'!F415&gt;'зведена (БАЛАНС) (2)'!E415,'зведена (БАЛАНС) (2)'!F415-'зведена (БАЛАНС) (2)'!E415,0)</f>
        <v>6787</v>
      </c>
    </row>
    <row r="416" spans="1:6" s="28" customFormat="1" x14ac:dyDescent="0.25">
      <c r="A416" s="33" t="s">
        <v>769</v>
      </c>
      <c r="B416" s="34" t="s">
        <v>985</v>
      </c>
      <c r="C416" s="30" t="s">
        <v>1552</v>
      </c>
      <c r="D416" s="32" t="s">
        <v>1553</v>
      </c>
      <c r="E416" s="5">
        <f>IF('зведена (БАЛАНС) (2)'!E416&gt;'зведена (БАЛАНС) (2)'!F416,'зведена (БАЛАНС) (2)'!E416-'зведена (БАЛАНС) (2)'!F416,0)</f>
        <v>0</v>
      </c>
      <c r="F416" s="5">
        <f>IF('зведена (БАЛАНС) (2)'!F416&gt;'зведена (БАЛАНС) (2)'!E416,'зведена (БАЛАНС) (2)'!F416-'зведена (БАЛАНС) (2)'!E416,0)</f>
        <v>44275.6</v>
      </c>
    </row>
    <row r="417" spans="1:6" s="28" customFormat="1" x14ac:dyDescent="0.25">
      <c r="A417" s="33" t="s">
        <v>769</v>
      </c>
      <c r="B417" s="34" t="s">
        <v>984</v>
      </c>
      <c r="C417" s="30" t="s">
        <v>1554</v>
      </c>
      <c r="D417" s="32" t="s">
        <v>1555</v>
      </c>
      <c r="E417" s="5">
        <f>IF('зведена (БАЛАНС) (2)'!E417&gt;'зведена (БАЛАНС) (2)'!F417,'зведена (БАЛАНС) (2)'!E417-'зведена (БАЛАНС) (2)'!F417,0)</f>
        <v>0</v>
      </c>
      <c r="F417" s="5">
        <f>IF('зведена (БАЛАНС) (2)'!F417&gt;'зведена (БАЛАНС) (2)'!E417,'зведена (БАЛАНС) (2)'!F417-'зведена (БАЛАНС) (2)'!E417,0)</f>
        <v>9332.4</v>
      </c>
    </row>
    <row r="418" spans="1:6" s="27" customFormat="1" x14ac:dyDescent="0.25">
      <c r="A418" s="33" t="s">
        <v>769</v>
      </c>
      <c r="B418" s="34" t="s">
        <v>985</v>
      </c>
      <c r="C418" s="30" t="s">
        <v>1556</v>
      </c>
      <c r="D418" s="32" t="s">
        <v>1557</v>
      </c>
      <c r="E418" s="5">
        <f>IF('зведена (БАЛАНС) (2)'!E418&gt;'зведена (БАЛАНС) (2)'!F418,'зведена (БАЛАНС) (2)'!E418-'зведена (БАЛАНС) (2)'!F418,0)</f>
        <v>0</v>
      </c>
      <c r="F418" s="5">
        <f>IF('зведена (БАЛАНС) (2)'!F418&gt;'зведена (БАЛАНС) (2)'!E418,'зведена (БАЛАНС) (2)'!F418-'зведена (БАЛАНС) (2)'!E418,0)</f>
        <v>25266.9</v>
      </c>
    </row>
    <row r="419" spans="1:6" x14ac:dyDescent="0.25">
      <c r="A419" s="33" t="s">
        <v>769</v>
      </c>
      <c r="B419" s="34" t="s">
        <v>984</v>
      </c>
      <c r="C419" s="30" t="s">
        <v>1558</v>
      </c>
      <c r="D419" s="32" t="s">
        <v>1559</v>
      </c>
      <c r="E419" s="5">
        <f>IF('зведена (БАЛАНС) (2)'!E419&gt;'зведена (БАЛАНС) (2)'!F419,'зведена (БАЛАНС) (2)'!E419-'зведена (БАЛАНС) (2)'!F419,0)</f>
        <v>0</v>
      </c>
      <c r="F419" s="5">
        <f>IF('зведена (БАЛАНС) (2)'!F419&gt;'зведена (БАЛАНС) (2)'!E419,'зведена (БАЛАНС) (2)'!F419-'зведена (БАЛАНС) (2)'!E419,0)</f>
        <v>1852.9</v>
      </c>
    </row>
    <row r="420" spans="1:6" x14ac:dyDescent="0.25">
      <c r="A420" s="33" t="s">
        <v>769</v>
      </c>
      <c r="B420" s="34" t="s">
        <v>984</v>
      </c>
      <c r="C420" s="30" t="s">
        <v>1560</v>
      </c>
      <c r="D420" s="32" t="s">
        <v>1561</v>
      </c>
      <c r="E420" s="5">
        <f>IF('зведена (БАЛАНС) (2)'!E420&gt;'зведена (БАЛАНС) (2)'!F420,'зведена (БАЛАНС) (2)'!E420-'зведена (БАЛАНС) (2)'!F420,0)</f>
        <v>0</v>
      </c>
      <c r="F420" s="5">
        <f>IF('зведена (БАЛАНС) (2)'!F420&gt;'зведена (БАЛАНС) (2)'!E420,'зведена (БАЛАНС) (2)'!F420-'зведена (БАЛАНС) (2)'!E420,0)</f>
        <v>57959.7</v>
      </c>
    </row>
    <row r="421" spans="1:6" x14ac:dyDescent="0.25">
      <c r="A421" s="33" t="s">
        <v>769</v>
      </c>
      <c r="B421" s="34" t="s">
        <v>984</v>
      </c>
      <c r="C421" s="30" t="s">
        <v>1562</v>
      </c>
      <c r="D421" s="32" t="s">
        <v>1563</v>
      </c>
      <c r="E421" s="5">
        <f>IF('зведена (БАЛАНС) (2)'!E421&gt;'зведена (БАЛАНС) (2)'!F421,'зведена (БАЛАНС) (2)'!E421-'зведена (БАЛАНС) (2)'!F421,0)</f>
        <v>0</v>
      </c>
      <c r="F421" s="5">
        <f>IF('зведена (БАЛАНС) (2)'!F421&gt;'зведена (БАЛАНС) (2)'!E421,'зведена (БАЛАНС) (2)'!F421-'зведена (БАЛАНС) (2)'!E421,0)</f>
        <v>17935.400000000001</v>
      </c>
    </row>
    <row r="422" spans="1:6" x14ac:dyDescent="0.25">
      <c r="A422" s="33" t="s">
        <v>769</v>
      </c>
      <c r="B422" s="34" t="s">
        <v>984</v>
      </c>
      <c r="C422" s="30" t="s">
        <v>1564</v>
      </c>
      <c r="D422" s="32" t="s">
        <v>1565</v>
      </c>
      <c r="E422" s="5">
        <f>IF('зведена (БАЛАНС) (2)'!E422&gt;'зведена (БАЛАНС) (2)'!F422,'зведена (БАЛАНС) (2)'!E422-'зведена (БАЛАНС) (2)'!F422,0)</f>
        <v>0</v>
      </c>
      <c r="F422" s="5">
        <f>IF('зведена (БАЛАНС) (2)'!F422&gt;'зведена (БАЛАНС) (2)'!E422,'зведена (БАЛАНС) (2)'!F422-'зведена (БАЛАНС) (2)'!E422,0)</f>
        <v>34107.4</v>
      </c>
    </row>
    <row r="423" spans="1:6" x14ac:dyDescent="0.25">
      <c r="A423" s="33" t="s">
        <v>769</v>
      </c>
      <c r="B423" s="34" t="s">
        <v>984</v>
      </c>
      <c r="C423" s="30" t="s">
        <v>1566</v>
      </c>
      <c r="D423" s="32" t="s">
        <v>1567</v>
      </c>
      <c r="E423" s="5">
        <f>IF('зведена (БАЛАНС) (2)'!E423&gt;'зведена (БАЛАНС) (2)'!F423,'зведена (БАЛАНС) (2)'!E423-'зведена (БАЛАНС) (2)'!F423,0)</f>
        <v>0</v>
      </c>
      <c r="F423" s="5">
        <f>IF('зведена (БАЛАНС) (2)'!F423&gt;'зведена (БАЛАНС) (2)'!E423,'зведена (БАЛАНС) (2)'!F423-'зведена (БАЛАНС) (2)'!E423,0)</f>
        <v>12816.8</v>
      </c>
    </row>
    <row r="424" spans="1:6" x14ac:dyDescent="0.25">
      <c r="A424" s="33" t="s">
        <v>769</v>
      </c>
      <c r="B424" s="34" t="s">
        <v>983</v>
      </c>
      <c r="C424" s="30" t="s">
        <v>1568</v>
      </c>
      <c r="D424" s="32" t="s">
        <v>1569</v>
      </c>
      <c r="E424" s="5">
        <f>IF('зведена (БАЛАНС) (2)'!E424&gt;'зведена (БАЛАНС) (2)'!F424,'зведена (БАЛАНС) (2)'!E424-'зведена (БАЛАНС) (2)'!F424,0)</f>
        <v>0</v>
      </c>
      <c r="F424" s="5">
        <f>IF('зведена (БАЛАНС) (2)'!F424&gt;'зведена (БАЛАНС) (2)'!E424,'зведена (БАЛАНС) (2)'!F424-'зведена (БАЛАНС) (2)'!E424,0)</f>
        <v>18668.400000000001</v>
      </c>
    </row>
    <row r="425" spans="1:6" x14ac:dyDescent="0.25">
      <c r="A425" s="33" t="s">
        <v>769</v>
      </c>
      <c r="B425" s="34" t="s">
        <v>983</v>
      </c>
      <c r="C425" s="30" t="s">
        <v>1570</v>
      </c>
      <c r="D425" s="32" t="s">
        <v>1571</v>
      </c>
      <c r="E425" s="5">
        <f>IF('зведена (БАЛАНС) (2)'!E425&gt;'зведена (БАЛАНС) (2)'!F425,'зведена (БАЛАНС) (2)'!E425-'зведена (БАЛАНС) (2)'!F425,0)</f>
        <v>0</v>
      </c>
      <c r="F425" s="5">
        <f>IF('зведена (БАЛАНС) (2)'!F425&gt;'зведена (БАЛАНС) (2)'!E425,'зведена (БАЛАНС) (2)'!F425-'зведена (БАЛАНС) (2)'!E425,0)</f>
        <v>17885.099999999999</v>
      </c>
    </row>
    <row r="426" spans="1:6" x14ac:dyDescent="0.25">
      <c r="A426" s="33" t="s">
        <v>769</v>
      </c>
      <c r="B426" s="34" t="s">
        <v>985</v>
      </c>
      <c r="C426" s="30" t="s">
        <v>1572</v>
      </c>
      <c r="D426" s="32" t="s">
        <v>1573</v>
      </c>
      <c r="E426" s="5">
        <f>IF('зведена (БАЛАНС) (2)'!E426&gt;'зведена (БАЛАНС) (2)'!F426,'зведена (БАЛАНС) (2)'!E426-'зведена (БАЛАНС) (2)'!F426,0)</f>
        <v>0</v>
      </c>
      <c r="F426" s="5">
        <f>IF('зведена (БАЛАНС) (2)'!F426&gt;'зведена (БАЛАНС) (2)'!E426,'зведена (БАЛАНС) (2)'!F426-'зведена (БАЛАНС) (2)'!E426,0)</f>
        <v>19953.3</v>
      </c>
    </row>
    <row r="427" spans="1:6" x14ac:dyDescent="0.25">
      <c r="A427" s="33" t="s">
        <v>769</v>
      </c>
      <c r="B427" s="34" t="s">
        <v>984</v>
      </c>
      <c r="C427" s="30" t="s">
        <v>1574</v>
      </c>
      <c r="D427" s="32" t="s">
        <v>1575</v>
      </c>
      <c r="E427" s="5">
        <f>IF('зведена (БАЛАНС) (2)'!E427&gt;'зведена (БАЛАНС) (2)'!F427,'зведена (БАЛАНС) (2)'!E427-'зведена (БАЛАНС) (2)'!F427,0)</f>
        <v>0</v>
      </c>
      <c r="F427" s="5">
        <f>IF('зведена (БАЛАНС) (2)'!F427&gt;'зведена (БАЛАНС) (2)'!E427,'зведена (БАЛАНС) (2)'!F427-'зведена (БАЛАНС) (2)'!E427,0)</f>
        <v>10941.2</v>
      </c>
    </row>
    <row r="428" spans="1:6" x14ac:dyDescent="0.25">
      <c r="A428" s="33" t="s">
        <v>769</v>
      </c>
      <c r="B428" s="34" t="s">
        <v>985</v>
      </c>
      <c r="C428" s="30" t="s">
        <v>1576</v>
      </c>
      <c r="D428" s="32" t="s">
        <v>1577</v>
      </c>
      <c r="E428" s="5">
        <f>IF('зведена (БАЛАНС) (2)'!E428&gt;'зведена (БАЛАНС) (2)'!F428,'зведена (БАЛАНС) (2)'!E428-'зведена (БАЛАНС) (2)'!F428,0)</f>
        <v>0</v>
      </c>
      <c r="F428" s="5">
        <f>IF('зведена (БАЛАНС) (2)'!F428&gt;'зведена (БАЛАНС) (2)'!E428,'зведена (БАЛАНС) (2)'!F428-'зведена (БАЛАНС) (2)'!E428,0)</f>
        <v>68011.5</v>
      </c>
    </row>
    <row r="429" spans="1:6" x14ac:dyDescent="0.25">
      <c r="A429" s="33" t="s">
        <v>769</v>
      </c>
      <c r="B429" s="34" t="s">
        <v>984</v>
      </c>
      <c r="C429" s="30" t="s">
        <v>1578</v>
      </c>
      <c r="D429" s="32" t="s">
        <v>1579</v>
      </c>
      <c r="E429" s="5">
        <f>IF('зведена (БАЛАНС) (2)'!E429&gt;'зведена (БАЛАНС) (2)'!F429,'зведена (БАЛАНС) (2)'!E429-'зведена (БАЛАНС) (2)'!F429,0)</f>
        <v>0</v>
      </c>
      <c r="F429" s="5">
        <f>IF('зведена (БАЛАНС) (2)'!F429&gt;'зведена (БАЛАНС) (2)'!E429,'зведена (БАЛАНС) (2)'!F429-'зведена (БАЛАНС) (2)'!E429,0)</f>
        <v>12014.2</v>
      </c>
    </row>
    <row r="430" spans="1:6" x14ac:dyDescent="0.25">
      <c r="A430" s="33" t="s">
        <v>769</v>
      </c>
      <c r="B430" s="34" t="s">
        <v>984</v>
      </c>
      <c r="C430" s="30" t="s">
        <v>1580</v>
      </c>
      <c r="D430" s="32" t="s">
        <v>1581</v>
      </c>
      <c r="E430" s="5">
        <f>IF('зведена (БАЛАНС) (2)'!E430&gt;'зведена (БАЛАНС) (2)'!F430,'зведена (БАЛАНС) (2)'!E430-'зведена (БАЛАНС) (2)'!F430,0)</f>
        <v>0</v>
      </c>
      <c r="F430" s="5">
        <f>IF('зведена (БАЛАНС) (2)'!F430&gt;'зведена (БАЛАНС) (2)'!E430,'зведена (БАЛАНС) (2)'!F430-'зведена (БАЛАНС) (2)'!E430,0)</f>
        <v>3180.7</v>
      </c>
    </row>
    <row r="431" spans="1:6" x14ac:dyDescent="0.25">
      <c r="A431" s="33" t="s">
        <v>769</v>
      </c>
      <c r="B431" s="34" t="s">
        <v>985</v>
      </c>
      <c r="C431" s="30" t="s">
        <v>1582</v>
      </c>
      <c r="D431" s="32" t="s">
        <v>1583</v>
      </c>
      <c r="E431" s="5">
        <f>IF('зведена (БАЛАНС) (2)'!E431&gt;'зведена (БАЛАНС) (2)'!F431,'зведена (БАЛАНС) (2)'!E431-'зведена (БАЛАНС) (2)'!F431,0)</f>
        <v>0</v>
      </c>
      <c r="F431" s="5">
        <f>IF('зведена (БАЛАНС) (2)'!F431&gt;'зведена (БАЛАНС) (2)'!E431,'зведена (БАЛАНС) (2)'!F431-'зведена (БАЛАНС) (2)'!E431,0)</f>
        <v>31490.6</v>
      </c>
    </row>
    <row r="432" spans="1:6" x14ac:dyDescent="0.25">
      <c r="A432" s="33" t="s">
        <v>769</v>
      </c>
      <c r="B432" s="34" t="s">
        <v>984</v>
      </c>
      <c r="C432" s="30" t="s">
        <v>1584</v>
      </c>
      <c r="D432" s="32" t="s">
        <v>1585</v>
      </c>
      <c r="E432" s="5">
        <f>IF('зведена (БАЛАНС) (2)'!E432&gt;'зведена (БАЛАНС) (2)'!F432,'зведена (БАЛАНС) (2)'!E432-'зведена (БАЛАНС) (2)'!F432,0)</f>
        <v>0</v>
      </c>
      <c r="F432" s="5">
        <f>IF('зведена (БАЛАНС) (2)'!F432&gt;'зведена (БАЛАНС) (2)'!E432,'зведена (БАЛАНС) (2)'!F432-'зведена (БАЛАНС) (2)'!E432,0)</f>
        <v>28787.7</v>
      </c>
    </row>
    <row r="433" spans="1:6" x14ac:dyDescent="0.25">
      <c r="A433" s="33" t="s">
        <v>769</v>
      </c>
      <c r="B433" s="34" t="s">
        <v>984</v>
      </c>
      <c r="C433" s="30" t="s">
        <v>1586</v>
      </c>
      <c r="D433" s="32" t="s">
        <v>1587</v>
      </c>
      <c r="E433" s="5">
        <f>IF('зведена (БАЛАНС) (2)'!E433&gt;'зведена (БАЛАНС) (2)'!F433,'зведена (БАЛАНС) (2)'!E433-'зведена (БАЛАНС) (2)'!F433,0)</f>
        <v>0</v>
      </c>
      <c r="F433" s="5">
        <f>IF('зведена (БАЛАНС) (2)'!F433&gt;'зведена (БАЛАНС) (2)'!E433,'зведена (БАЛАНС) (2)'!F433-'зведена (БАЛАНС) (2)'!E433,0)</f>
        <v>20269.400000000001</v>
      </c>
    </row>
    <row r="434" spans="1:6" x14ac:dyDescent="0.25">
      <c r="A434" s="33" t="s">
        <v>769</v>
      </c>
      <c r="B434" s="34" t="s">
        <v>986</v>
      </c>
      <c r="C434" s="30" t="s">
        <v>1588</v>
      </c>
      <c r="D434" s="32" t="s">
        <v>1589</v>
      </c>
      <c r="E434" s="5">
        <f>IF('зведена (БАЛАНС) (2)'!E434&gt;'зведена (БАЛАНС) (2)'!F434,'зведена (БАЛАНС) (2)'!E434-'зведена (БАЛАНС) (2)'!F434,0)</f>
        <v>134944.29999999999</v>
      </c>
      <c r="F434" s="5">
        <f>IF('зведена (БАЛАНС) (2)'!F434&gt;'зведена (БАЛАНС) (2)'!E434,'зведена (БАЛАНС) (2)'!F434-'зведена (БАЛАНС) (2)'!E434,0)</f>
        <v>0</v>
      </c>
    </row>
    <row r="435" spans="1:6" x14ac:dyDescent="0.25">
      <c r="A435" s="33" t="s">
        <v>769</v>
      </c>
      <c r="B435" s="34" t="s">
        <v>985</v>
      </c>
      <c r="C435" s="30" t="s">
        <v>1590</v>
      </c>
      <c r="D435" s="32" t="s">
        <v>1591</v>
      </c>
      <c r="E435" s="5">
        <f>IF('зведена (БАЛАНС) (2)'!E435&gt;'зведена (БАЛАНС) (2)'!F435,'зведена (БАЛАНС) (2)'!E435-'зведена (БАЛАНС) (2)'!F435,0)</f>
        <v>0</v>
      </c>
      <c r="F435" s="5">
        <f>IF('зведена (БАЛАНС) (2)'!F435&gt;'зведена (БАЛАНС) (2)'!E435,'зведена (БАЛАНС) (2)'!F435-'зведена (БАЛАНС) (2)'!E435,0)</f>
        <v>6123.4</v>
      </c>
    </row>
    <row r="436" spans="1:6" x14ac:dyDescent="0.25">
      <c r="A436" s="33" t="s">
        <v>769</v>
      </c>
      <c r="B436" s="34" t="s">
        <v>986</v>
      </c>
      <c r="C436" s="30" t="s">
        <v>1592</v>
      </c>
      <c r="D436" s="32" t="s">
        <v>1593</v>
      </c>
      <c r="E436" s="5">
        <f>IF('зведена (БАЛАНС) (2)'!E436&gt;'зведена (БАЛАНС) (2)'!F436,'зведена (БАЛАНС) (2)'!E436-'зведена (БАЛАНС) (2)'!F436,0)</f>
        <v>0</v>
      </c>
      <c r="F436" s="5">
        <f>IF('зведена (БАЛАНС) (2)'!F436&gt;'зведена (БАЛАНС) (2)'!E436,'зведена (БАЛАНС) (2)'!F436-'зведена (БАЛАНС) (2)'!E436,0)</f>
        <v>86333.5</v>
      </c>
    </row>
    <row r="437" spans="1:6" x14ac:dyDescent="0.25">
      <c r="A437" s="33" t="s">
        <v>769</v>
      </c>
      <c r="B437" s="34" t="s">
        <v>985</v>
      </c>
      <c r="C437" s="30" t="s">
        <v>1594</v>
      </c>
      <c r="D437" s="32" t="s">
        <v>1595</v>
      </c>
      <c r="E437" s="5">
        <f>IF('зведена (БАЛАНС) (2)'!E437&gt;'зведена (БАЛАНС) (2)'!F437,'зведена (БАЛАНС) (2)'!E437-'зведена (БАЛАНС) (2)'!F437,0)</f>
        <v>0</v>
      </c>
      <c r="F437" s="5">
        <f>IF('зведена (БАЛАНС) (2)'!F437&gt;'зведена (БАЛАНС) (2)'!E437,'зведена (БАЛАНС) (2)'!F437-'зведена (БАЛАНС) (2)'!E437,0)</f>
        <v>24036</v>
      </c>
    </row>
    <row r="438" spans="1:6" x14ac:dyDescent="0.25">
      <c r="A438" s="33" t="s">
        <v>769</v>
      </c>
      <c r="B438" s="34" t="s">
        <v>986</v>
      </c>
      <c r="C438" s="30" t="s">
        <v>1596</v>
      </c>
      <c r="D438" s="32" t="s">
        <v>1597</v>
      </c>
      <c r="E438" s="5">
        <f>IF('зведена (БАЛАНС) (2)'!E438&gt;'зведена (БАЛАНС) (2)'!F438,'зведена (БАЛАНС) (2)'!E438-'зведена (БАЛАНС) (2)'!F438,0)</f>
        <v>5742</v>
      </c>
      <c r="F438" s="5">
        <f>IF('зведена (БАЛАНС) (2)'!F438&gt;'зведена (БАЛАНС) (2)'!E438,'зведена (БАЛАНС) (2)'!F438-'зведена (БАЛАНС) (2)'!E438,0)</f>
        <v>0</v>
      </c>
    </row>
    <row r="439" spans="1:6" x14ac:dyDescent="0.25">
      <c r="A439" s="33" t="s">
        <v>769</v>
      </c>
      <c r="B439" s="34" t="s">
        <v>985</v>
      </c>
      <c r="C439" s="30" t="s">
        <v>1598</v>
      </c>
      <c r="D439" s="32" t="s">
        <v>2827</v>
      </c>
      <c r="E439" s="5">
        <f>IF('зведена (БАЛАНС) (2)'!E439&gt;'зведена (БАЛАНС) (2)'!F439,'зведена (БАЛАНС) (2)'!E439-'зведена (БАЛАНС) (2)'!F439,0)</f>
        <v>0</v>
      </c>
      <c r="F439" s="5">
        <f>IF('зведена (БАЛАНС) (2)'!F439&gt;'зведена (БАЛАНС) (2)'!E439,'зведена (БАЛАНС) (2)'!F439-'зведена (БАЛАНС) (2)'!E439,0)</f>
        <v>28076.6</v>
      </c>
    </row>
    <row r="440" spans="1:6" x14ac:dyDescent="0.25">
      <c r="A440" s="17" t="s">
        <v>773</v>
      </c>
      <c r="B440" s="17" t="s">
        <v>7</v>
      </c>
      <c r="C440" s="17" t="s">
        <v>774</v>
      </c>
      <c r="D440" s="11" t="s">
        <v>12</v>
      </c>
      <c r="E440" s="11">
        <f>E441+E442+E448</f>
        <v>825380.50000000012</v>
      </c>
      <c r="F440" s="11">
        <f>F441+F442+F448</f>
        <v>551238.89999999991</v>
      </c>
    </row>
    <row r="441" spans="1:6" x14ac:dyDescent="0.25">
      <c r="A441" s="33" t="s">
        <v>773</v>
      </c>
      <c r="B441" s="34" t="s">
        <v>6</v>
      </c>
      <c r="C441" s="18" t="s">
        <v>85</v>
      </c>
      <c r="D441" s="32" t="s">
        <v>845</v>
      </c>
      <c r="E441" s="5">
        <f>IF('зведена (БАЛАНС) (2)'!E441&gt;'зведена (БАЛАНС) (2)'!F441,'зведена (БАЛАНС) (2)'!E441-'зведена (БАЛАНС) (2)'!F441,0)</f>
        <v>38572.9</v>
      </c>
      <c r="F441" s="5">
        <f>IF('зведена (БАЛАНС) (2)'!F441&gt;'зведена (БАЛАНС) (2)'!E441,'зведена (БАЛАНС) (2)'!F441-'зведена (БАЛАНС) (2)'!E441,0)</f>
        <v>0</v>
      </c>
    </row>
    <row r="442" spans="1:6" s="28" customFormat="1" x14ac:dyDescent="0.25">
      <c r="A442" s="19" t="s">
        <v>773</v>
      </c>
      <c r="B442" s="19" t="s">
        <v>5</v>
      </c>
      <c r="C442" s="19" t="s">
        <v>775</v>
      </c>
      <c r="D442" s="7" t="s">
        <v>2800</v>
      </c>
      <c r="E442" s="7">
        <f>SUM(E443:E447)</f>
        <v>0</v>
      </c>
      <c r="F442" s="7">
        <f>SUM(F443:F447)</f>
        <v>0</v>
      </c>
    </row>
    <row r="443" spans="1:6" s="28" customFormat="1" x14ac:dyDescent="0.25">
      <c r="A443" s="33" t="s">
        <v>773</v>
      </c>
      <c r="B443" s="34" t="s">
        <v>4</v>
      </c>
      <c r="C443" s="18" t="s">
        <v>86</v>
      </c>
      <c r="D443" s="32" t="s">
        <v>905</v>
      </c>
      <c r="E443" s="5">
        <f>IF('зведена (БАЛАНС) (2)'!E443&gt;'зведена (БАЛАНС) (2)'!F443,'зведена (БАЛАНС) (2)'!E443-'зведена (БАЛАНС) (2)'!F443,0)</f>
        <v>0</v>
      </c>
      <c r="F443" s="5">
        <f>IF('зведена (БАЛАНС) (2)'!F443&gt;'зведена (БАЛАНС) (2)'!E443,'зведена (БАЛАНС) (2)'!F443-'зведена (БАЛАНС) (2)'!E443,0)</f>
        <v>0</v>
      </c>
    </row>
    <row r="444" spans="1:6" s="28" customFormat="1" x14ac:dyDescent="0.25">
      <c r="A444" s="33" t="s">
        <v>773</v>
      </c>
      <c r="B444" s="34" t="s">
        <v>4</v>
      </c>
      <c r="C444" s="18" t="s">
        <v>87</v>
      </c>
      <c r="D444" s="32" t="s">
        <v>906</v>
      </c>
      <c r="E444" s="5">
        <f>IF('зведена (БАЛАНС) (2)'!E444&gt;'зведена (БАЛАНС) (2)'!F444,'зведена (БАЛАНС) (2)'!E444-'зведена (БАЛАНС) (2)'!F444,0)</f>
        <v>0</v>
      </c>
      <c r="F444" s="5">
        <f>IF('зведена (БАЛАНС) (2)'!F444&gt;'зведена (БАЛАНС) (2)'!E444,'зведена (БАЛАНС) (2)'!F444-'зведена (БАЛАНС) (2)'!E444,0)</f>
        <v>0</v>
      </c>
    </row>
    <row r="445" spans="1:6" s="28" customFormat="1" x14ac:dyDescent="0.25">
      <c r="A445" s="33" t="s">
        <v>773</v>
      </c>
      <c r="B445" s="34" t="s">
        <v>4</v>
      </c>
      <c r="C445" s="18" t="s">
        <v>88</v>
      </c>
      <c r="D445" s="32" t="s">
        <v>907</v>
      </c>
      <c r="E445" s="5">
        <f>IF('зведена (БАЛАНС) (2)'!E445&gt;'зведена (БАЛАНС) (2)'!F445,'зведена (БАЛАНС) (2)'!E445-'зведена (БАЛАНС) (2)'!F445,0)</f>
        <v>0</v>
      </c>
      <c r="F445" s="5">
        <f>IF('зведена (БАЛАНС) (2)'!F445&gt;'зведена (БАЛАНС) (2)'!E445,'зведена (БАЛАНС) (2)'!F445-'зведена (БАЛАНС) (2)'!E445,0)</f>
        <v>0</v>
      </c>
    </row>
    <row r="446" spans="1:6" s="28" customFormat="1" x14ac:dyDescent="0.25">
      <c r="A446" s="33" t="s">
        <v>773</v>
      </c>
      <c r="B446" s="34" t="s">
        <v>4</v>
      </c>
      <c r="C446" s="18" t="s">
        <v>89</v>
      </c>
      <c r="D446" s="32" t="s">
        <v>908</v>
      </c>
      <c r="E446" s="5">
        <f>IF('зведена (БАЛАНС) (2)'!E446&gt;'зведена (БАЛАНС) (2)'!F446,'зведена (БАЛАНС) (2)'!E446-'зведена (БАЛАНС) (2)'!F446,0)</f>
        <v>0</v>
      </c>
      <c r="F446" s="5">
        <f>IF('зведена (БАЛАНС) (2)'!F446&gt;'зведена (БАЛАНС) (2)'!E446,'зведена (БАЛАНС) (2)'!F446-'зведена (БАЛАНС) (2)'!E446,0)</f>
        <v>0</v>
      </c>
    </row>
    <row r="447" spans="1:6" s="28" customFormat="1" x14ac:dyDescent="0.25">
      <c r="A447" s="33" t="s">
        <v>773</v>
      </c>
      <c r="B447" s="34" t="s">
        <v>4</v>
      </c>
      <c r="C447" s="18" t="s">
        <v>90</v>
      </c>
      <c r="D447" s="32" t="s">
        <v>909</v>
      </c>
      <c r="E447" s="5">
        <f>IF('зведена (БАЛАНС) (2)'!E447&gt;'зведена (БАЛАНС) (2)'!F447,'зведена (БАЛАНС) (2)'!E447-'зведена (БАЛАНС) (2)'!F447,0)</f>
        <v>0</v>
      </c>
      <c r="F447" s="5">
        <f>IF('зведена (БАЛАНС) (2)'!F447&gt;'зведена (БАЛАНС) (2)'!E447,'зведена (БАЛАНС) (2)'!F447-'зведена (БАЛАНС) (2)'!E447,0)</f>
        <v>0</v>
      </c>
    </row>
    <row r="448" spans="1:6" s="28" customFormat="1" x14ac:dyDescent="0.25">
      <c r="A448" s="19" t="s">
        <v>773</v>
      </c>
      <c r="B448" s="19" t="s">
        <v>28</v>
      </c>
      <c r="C448" s="19" t="s">
        <v>776</v>
      </c>
      <c r="D448" s="20" t="s">
        <v>2774</v>
      </c>
      <c r="E448" s="7">
        <f>SUM(E449:E515)</f>
        <v>786807.60000000009</v>
      </c>
      <c r="F448" s="7">
        <f>SUM(F449:F515)</f>
        <v>551238.89999999991</v>
      </c>
    </row>
    <row r="449" spans="1:6" s="28" customFormat="1" x14ac:dyDescent="0.25">
      <c r="A449" s="33" t="s">
        <v>773</v>
      </c>
      <c r="B449" s="34" t="s">
        <v>984</v>
      </c>
      <c r="C449" s="18" t="s">
        <v>91</v>
      </c>
      <c r="D449" s="32" t="s">
        <v>1599</v>
      </c>
      <c r="E449" s="5">
        <f>IF('зведена (БАЛАНС) (2)'!E449&gt;'зведена (БАЛАНС) (2)'!F449,'зведена (БАЛАНС) (2)'!E449-'зведена (БАЛАНС) (2)'!F449,0)</f>
        <v>0</v>
      </c>
      <c r="F449" s="5">
        <f>IF('зведена (БАЛАНС) (2)'!F449&gt;'зведена (БАЛАНС) (2)'!E449,'зведена (БАЛАНС) (2)'!F449-'зведена (БАЛАНС) (2)'!E449,0)</f>
        <v>4152</v>
      </c>
    </row>
    <row r="450" spans="1:6" s="28" customFormat="1" x14ac:dyDescent="0.25">
      <c r="A450" s="33" t="s">
        <v>773</v>
      </c>
      <c r="B450" s="34" t="s">
        <v>985</v>
      </c>
      <c r="C450" s="18" t="s">
        <v>92</v>
      </c>
      <c r="D450" s="32" t="s">
        <v>1600</v>
      </c>
      <c r="E450" s="5">
        <f>IF('зведена (БАЛАНС) (2)'!E450&gt;'зведена (БАЛАНС) (2)'!F450,'зведена (БАЛАНС) (2)'!E450-'зведена (БАЛАНС) (2)'!F450,0)</f>
        <v>0</v>
      </c>
      <c r="F450" s="5">
        <f>IF('зведена (БАЛАНС) (2)'!F450&gt;'зведена (БАЛАНС) (2)'!E450,'зведена (БАЛАНС) (2)'!F450-'зведена (БАЛАНС) (2)'!E450,0)</f>
        <v>9187.6</v>
      </c>
    </row>
    <row r="451" spans="1:6" s="28" customFormat="1" x14ac:dyDescent="0.25">
      <c r="A451" s="33" t="s">
        <v>773</v>
      </c>
      <c r="B451" s="34" t="s">
        <v>985</v>
      </c>
      <c r="C451" s="18" t="s">
        <v>93</v>
      </c>
      <c r="D451" s="32" t="s">
        <v>1601</v>
      </c>
      <c r="E451" s="5">
        <f>IF('зведена (БАЛАНС) (2)'!E451&gt;'зведена (БАЛАНС) (2)'!F451,'зведена (БАЛАНС) (2)'!E451-'зведена (БАЛАНС) (2)'!F451,0)</f>
        <v>0</v>
      </c>
      <c r="F451" s="5">
        <f>IF('зведена (БАЛАНС) (2)'!F451&gt;'зведена (БАЛАНС) (2)'!E451,'зведена (БАЛАНС) (2)'!F451-'зведена (БАЛАНС) (2)'!E451,0)</f>
        <v>2336.5</v>
      </c>
    </row>
    <row r="452" spans="1:6" s="28" customFormat="1" x14ac:dyDescent="0.25">
      <c r="A452" s="33" t="s">
        <v>773</v>
      </c>
      <c r="B452" s="34" t="s">
        <v>984</v>
      </c>
      <c r="C452" s="18" t="s">
        <v>94</v>
      </c>
      <c r="D452" s="32" t="s">
        <v>1602</v>
      </c>
      <c r="E452" s="5">
        <f>IF('зведена (БАЛАНС) (2)'!E452&gt;'зведена (БАЛАНС) (2)'!F452,'зведена (БАЛАНС) (2)'!E452-'зведена (БАЛАНС) (2)'!F452,0)</f>
        <v>0</v>
      </c>
      <c r="F452" s="5">
        <f>IF('зведена (БАЛАНС) (2)'!F452&gt;'зведена (БАЛАНС) (2)'!E452,'зведена (БАЛАНС) (2)'!F452-'зведена (БАЛАНС) (2)'!E452,0)</f>
        <v>4565.1000000000004</v>
      </c>
    </row>
    <row r="453" spans="1:6" s="28" customFormat="1" x14ac:dyDescent="0.25">
      <c r="A453" s="33" t="s">
        <v>773</v>
      </c>
      <c r="B453" s="34" t="s">
        <v>984</v>
      </c>
      <c r="C453" s="18" t="s">
        <v>95</v>
      </c>
      <c r="D453" s="32" t="s">
        <v>1603</v>
      </c>
      <c r="E453" s="5">
        <f>IF('зведена (БАЛАНС) (2)'!E453&gt;'зведена (БАЛАНС) (2)'!F453,'зведена (БАЛАНС) (2)'!E453-'зведена (БАЛАНС) (2)'!F453,0)</f>
        <v>975</v>
      </c>
      <c r="F453" s="5">
        <f>IF('зведена (БАЛАНС) (2)'!F453&gt;'зведена (БАЛАНС) (2)'!E453,'зведена (БАЛАНС) (2)'!F453-'зведена (БАЛАНС) (2)'!E453,0)</f>
        <v>0</v>
      </c>
    </row>
    <row r="454" spans="1:6" s="27" customFormat="1" x14ac:dyDescent="0.25">
      <c r="A454" s="33" t="s">
        <v>773</v>
      </c>
      <c r="B454" s="34" t="s">
        <v>984</v>
      </c>
      <c r="C454" s="18" t="s">
        <v>232</v>
      </c>
      <c r="D454" s="32" t="s">
        <v>1604</v>
      </c>
      <c r="E454" s="5">
        <f>IF('зведена (БАЛАНС) (2)'!E454&gt;'зведена (БАЛАНС) (2)'!F454,'зведена (БАЛАНС) (2)'!E454-'зведена (БАЛАНС) (2)'!F454,0)</f>
        <v>0</v>
      </c>
      <c r="F454" s="5">
        <f>IF('зведена (БАЛАНС) (2)'!F454&gt;'зведена (БАЛАНС) (2)'!E454,'зведена (БАЛАНС) (2)'!F454-'зведена (БАЛАНС) (2)'!E454,0)</f>
        <v>2957.8</v>
      </c>
    </row>
    <row r="455" spans="1:6" x14ac:dyDescent="0.25">
      <c r="A455" s="33" t="s">
        <v>773</v>
      </c>
      <c r="B455" s="34" t="s">
        <v>984</v>
      </c>
      <c r="C455" s="18" t="s">
        <v>299</v>
      </c>
      <c r="D455" s="32" t="s">
        <v>1605</v>
      </c>
      <c r="E455" s="5">
        <f>IF('зведена (БАЛАНС) (2)'!E455&gt;'зведена (БАЛАНС) (2)'!F455,'зведена (БАЛАНС) (2)'!E455-'зведена (БАЛАНС) (2)'!F455,0)</f>
        <v>0</v>
      </c>
      <c r="F455" s="5">
        <f>IF('зведена (БАЛАНС) (2)'!F455&gt;'зведена (БАЛАНС) (2)'!E455,'зведена (БАЛАНС) (2)'!F455-'зведена (БАЛАНС) (2)'!E455,0)</f>
        <v>0</v>
      </c>
    </row>
    <row r="456" spans="1:6" x14ac:dyDescent="0.25">
      <c r="A456" s="33" t="s">
        <v>773</v>
      </c>
      <c r="B456" s="34" t="s">
        <v>983</v>
      </c>
      <c r="C456" s="18" t="s">
        <v>363</v>
      </c>
      <c r="D456" s="32" t="s">
        <v>2967</v>
      </c>
      <c r="E456" s="5">
        <f>IF('зведена (БАЛАНС) (2)'!E456&gt;'зведена (БАЛАНС) (2)'!F456,'зведена (БАЛАНС) (2)'!E456-'зведена (БАЛАНС) (2)'!F456,0)</f>
        <v>0</v>
      </c>
      <c r="F456" s="5">
        <f>IF('зведена (БАЛАНС) (2)'!F456&gt;'зведена (БАЛАНС) (2)'!E456,'зведена (БАЛАНС) (2)'!F456-'зведена (БАЛАНС) (2)'!E456,0)</f>
        <v>22522.9</v>
      </c>
    </row>
    <row r="457" spans="1:6" x14ac:dyDescent="0.25">
      <c r="A457" s="33" t="s">
        <v>773</v>
      </c>
      <c r="B457" s="34" t="s">
        <v>985</v>
      </c>
      <c r="C457" s="18" t="s">
        <v>364</v>
      </c>
      <c r="D457" s="32" t="s">
        <v>1607</v>
      </c>
      <c r="E457" s="5">
        <f>IF('зведена (БАЛАНС) (2)'!E457&gt;'зведена (БАЛАНС) (2)'!F457,'зведена (БАЛАНС) (2)'!E457-'зведена (БАЛАНС) (2)'!F457,0)</f>
        <v>0</v>
      </c>
      <c r="F457" s="5">
        <f>IF('зведена (БАЛАНС) (2)'!F457&gt;'зведена (БАЛАНС) (2)'!E457,'зведена (БАЛАНС) (2)'!F457-'зведена (БАЛАНС) (2)'!E457,0)</f>
        <v>18950.3</v>
      </c>
    </row>
    <row r="458" spans="1:6" x14ac:dyDescent="0.25">
      <c r="A458" s="33" t="s">
        <v>773</v>
      </c>
      <c r="B458" s="34" t="s">
        <v>984</v>
      </c>
      <c r="C458" s="18" t="s">
        <v>365</v>
      </c>
      <c r="D458" s="32" t="s">
        <v>1608</v>
      </c>
      <c r="E458" s="5">
        <f>IF('зведена (БАЛАНС) (2)'!E458&gt;'зведена (БАЛАНС) (2)'!F458,'зведена (БАЛАНС) (2)'!E458-'зведена (БАЛАНС) (2)'!F458,0)</f>
        <v>0</v>
      </c>
      <c r="F458" s="5">
        <f>IF('зведена (БАЛАНС) (2)'!F458&gt;'зведена (БАЛАНС) (2)'!E458,'зведена (БАЛАНС) (2)'!F458-'зведена (БАЛАНС) (2)'!E458,0)</f>
        <v>8640.6</v>
      </c>
    </row>
    <row r="459" spans="1:6" x14ac:dyDescent="0.25">
      <c r="A459" s="33" t="s">
        <v>773</v>
      </c>
      <c r="B459" s="34" t="s">
        <v>984</v>
      </c>
      <c r="C459" s="18" t="s">
        <v>366</v>
      </c>
      <c r="D459" s="32" t="s">
        <v>1609</v>
      </c>
      <c r="E459" s="5">
        <f>IF('зведена (БАЛАНС) (2)'!E459&gt;'зведена (БАЛАНС) (2)'!F459,'зведена (БАЛАНС) (2)'!E459-'зведена (БАЛАНС) (2)'!F459,0)</f>
        <v>0</v>
      </c>
      <c r="F459" s="5">
        <f>IF('зведена (БАЛАНС) (2)'!F459&gt;'зведена (БАЛАНС) (2)'!E459,'зведена (БАЛАНС) (2)'!F459-'зведена (БАЛАНС) (2)'!E459,0)</f>
        <v>1119.3</v>
      </c>
    </row>
    <row r="460" spans="1:6" x14ac:dyDescent="0.25">
      <c r="A460" s="33" t="s">
        <v>773</v>
      </c>
      <c r="B460" s="34" t="s">
        <v>984</v>
      </c>
      <c r="C460" s="18" t="s">
        <v>367</v>
      </c>
      <c r="D460" s="32" t="s">
        <v>1610</v>
      </c>
      <c r="E460" s="5">
        <f>IF('зведена (БАЛАНС) (2)'!E460&gt;'зведена (БАЛАНС) (2)'!F460,'зведена (БАЛАНС) (2)'!E460-'зведена (БАЛАНС) (2)'!F460,0)</f>
        <v>0</v>
      </c>
      <c r="F460" s="5">
        <f>IF('зведена (БАЛАНС) (2)'!F460&gt;'зведена (БАЛАНС) (2)'!E460,'зведена (БАЛАНС) (2)'!F460-'зведена (БАЛАНС) (2)'!E460,0)</f>
        <v>6222.2</v>
      </c>
    </row>
    <row r="461" spans="1:6" x14ac:dyDescent="0.25">
      <c r="A461" s="33" t="s">
        <v>773</v>
      </c>
      <c r="B461" s="34" t="s">
        <v>984</v>
      </c>
      <c r="C461" s="18" t="s">
        <v>368</v>
      </c>
      <c r="D461" s="32" t="s">
        <v>1611</v>
      </c>
      <c r="E461" s="5">
        <f>IF('зведена (БАЛАНС) (2)'!E461&gt;'зведена (БАЛАНС) (2)'!F461,'зведена (БАЛАНС) (2)'!E461-'зведена (БАЛАНС) (2)'!F461,0)</f>
        <v>0</v>
      </c>
      <c r="F461" s="5">
        <f>IF('зведена (БАЛАНС) (2)'!F461&gt;'зведена (БАЛАНС) (2)'!E461,'зведена (БАЛАНС) (2)'!F461-'зведена (БАЛАНС) (2)'!E461,0)</f>
        <v>4547.8999999999996</v>
      </c>
    </row>
    <row r="462" spans="1:6" ht="31.5" x14ac:dyDescent="0.25">
      <c r="A462" s="33" t="s">
        <v>773</v>
      </c>
      <c r="B462" s="34" t="s">
        <v>983</v>
      </c>
      <c r="C462" s="18" t="s">
        <v>476</v>
      </c>
      <c r="D462" s="32" t="s">
        <v>1612</v>
      </c>
      <c r="E462" s="5">
        <f>IF('зведена (БАЛАНС) (2)'!E462&gt;'зведена (БАЛАНС) (2)'!F462,'зведена (БАЛАНС) (2)'!E462-'зведена (БАЛАНС) (2)'!F462,0)</f>
        <v>0</v>
      </c>
      <c r="F462" s="5">
        <f>IF('зведена (БАЛАНС) (2)'!F462&gt;'зведена (БАЛАНС) (2)'!E462,'зведена (БАЛАНС) (2)'!F462-'зведена (БАЛАНС) (2)'!E462,0)</f>
        <v>17898.400000000001</v>
      </c>
    </row>
    <row r="463" spans="1:6" x14ac:dyDescent="0.25">
      <c r="A463" s="33" t="s">
        <v>773</v>
      </c>
      <c r="B463" s="34" t="s">
        <v>983</v>
      </c>
      <c r="C463" s="18" t="s">
        <v>477</v>
      </c>
      <c r="D463" s="32" t="s">
        <v>1613</v>
      </c>
      <c r="E463" s="5">
        <f>IF('зведена (БАЛАНС) (2)'!E463&gt;'зведена (БАЛАНС) (2)'!F463,'зведена (БАЛАНС) (2)'!E463-'зведена (БАЛАНС) (2)'!F463,0)</f>
        <v>0</v>
      </c>
      <c r="F463" s="5">
        <f>IF('зведена (БАЛАНС) (2)'!F463&gt;'зведена (БАЛАНС) (2)'!E463,'зведена (БАЛАНС) (2)'!F463-'зведена (БАЛАНС) (2)'!E463,0)</f>
        <v>5283.5</v>
      </c>
    </row>
    <row r="464" spans="1:6" x14ac:dyDescent="0.25">
      <c r="A464" s="33" t="s">
        <v>773</v>
      </c>
      <c r="B464" s="34" t="s">
        <v>984</v>
      </c>
      <c r="C464" s="18" t="s">
        <v>478</v>
      </c>
      <c r="D464" s="32" t="s">
        <v>1614</v>
      </c>
      <c r="E464" s="5">
        <f>IF('зведена (БАЛАНС) (2)'!E464&gt;'зведена (БАЛАНС) (2)'!F464,'зведена (БАЛАНС) (2)'!E464-'зведена (БАЛАНС) (2)'!F464,0)</f>
        <v>0</v>
      </c>
      <c r="F464" s="5">
        <f>IF('зведена (БАЛАНС) (2)'!F464&gt;'зведена (БАЛАНС) (2)'!E464,'зведена (БАЛАНС) (2)'!F464-'зведена (БАЛАНС) (2)'!E464,0)</f>
        <v>463.4</v>
      </c>
    </row>
    <row r="465" spans="1:6" x14ac:dyDescent="0.25">
      <c r="A465" s="33" t="s">
        <v>773</v>
      </c>
      <c r="B465" s="34" t="s">
        <v>985</v>
      </c>
      <c r="C465" s="18" t="s">
        <v>479</v>
      </c>
      <c r="D465" s="32" t="s">
        <v>1615</v>
      </c>
      <c r="E465" s="5">
        <f>IF('зведена (БАЛАНС) (2)'!E465&gt;'зведена (БАЛАНС) (2)'!F465,'зведена (БАЛАНС) (2)'!E465-'зведена (БАЛАНС) (2)'!F465,0)</f>
        <v>0</v>
      </c>
      <c r="F465" s="5">
        <f>IF('зведена (БАЛАНС) (2)'!F465&gt;'зведена (БАЛАНС) (2)'!E465,'зведена (БАЛАНС) (2)'!F465-'зведена (БАЛАНС) (2)'!E465,0)</f>
        <v>4711.3999999999996</v>
      </c>
    </row>
    <row r="466" spans="1:6" x14ac:dyDescent="0.25">
      <c r="A466" s="33" t="s">
        <v>773</v>
      </c>
      <c r="B466" s="34" t="s">
        <v>983</v>
      </c>
      <c r="C466" s="18" t="s">
        <v>480</v>
      </c>
      <c r="D466" s="32" t="s">
        <v>1616</v>
      </c>
      <c r="E466" s="5">
        <f>IF('зведена (БАЛАНС) (2)'!E466&gt;'зведена (БАЛАНС) (2)'!F466,'зведена (БАЛАНС) (2)'!E466-'зведена (БАЛАНС) (2)'!F466,0)</f>
        <v>0</v>
      </c>
      <c r="F466" s="5">
        <f>IF('зведена (БАЛАНС) (2)'!F466&gt;'зведена (БАЛАНС) (2)'!E466,'зведена (БАЛАНС) (2)'!F466-'зведена (БАЛАНС) (2)'!E466,0)</f>
        <v>5177.8999999999996</v>
      </c>
    </row>
    <row r="467" spans="1:6" x14ac:dyDescent="0.25">
      <c r="A467" s="33" t="s">
        <v>773</v>
      </c>
      <c r="B467" s="34" t="s">
        <v>984</v>
      </c>
      <c r="C467" s="18" t="s">
        <v>481</v>
      </c>
      <c r="D467" s="32" t="s">
        <v>1164</v>
      </c>
      <c r="E467" s="5">
        <f>IF('зведена (БАЛАНС) (2)'!E467&gt;'зведена (БАЛАНС) (2)'!F467,'зведена (БАЛАНС) (2)'!E467-'зведена (БАЛАНС) (2)'!F467,0)</f>
        <v>0</v>
      </c>
      <c r="F467" s="5">
        <f>IF('зведена (БАЛАНС) (2)'!F467&gt;'зведена (БАЛАНС) (2)'!E467,'зведена (БАЛАНС) (2)'!F467-'зведена (БАЛАНС) (2)'!E467,0)</f>
        <v>2203.3000000000002</v>
      </c>
    </row>
    <row r="468" spans="1:6" x14ac:dyDescent="0.25">
      <c r="A468" s="33" t="s">
        <v>773</v>
      </c>
      <c r="B468" s="34" t="s">
        <v>984</v>
      </c>
      <c r="C468" s="18" t="s">
        <v>482</v>
      </c>
      <c r="D468" s="32" t="s">
        <v>1618</v>
      </c>
      <c r="E468" s="5">
        <f>IF('зведена (БАЛАНС) (2)'!E468&gt;'зведена (БАЛАНС) (2)'!F468,'зведена (БАЛАНС) (2)'!E468-'зведена (БАЛАНС) (2)'!F468,0)</f>
        <v>0</v>
      </c>
      <c r="F468" s="5">
        <f>IF('зведена (БАЛАНС) (2)'!F468&gt;'зведена (БАЛАНС) (2)'!E468,'зведена (БАЛАНС) (2)'!F468-'зведена (БАЛАНС) (2)'!E468,0)</f>
        <v>0</v>
      </c>
    </row>
    <row r="469" spans="1:6" s="29" customFormat="1" x14ac:dyDescent="0.25">
      <c r="A469" s="33" t="s">
        <v>773</v>
      </c>
      <c r="B469" s="34" t="s">
        <v>984</v>
      </c>
      <c r="C469" s="18" t="s">
        <v>483</v>
      </c>
      <c r="D469" s="32" t="s">
        <v>1619</v>
      </c>
      <c r="E469" s="5">
        <f>IF('зведена (БАЛАНС) (2)'!E469&gt;'зведена (БАЛАНС) (2)'!F469,'зведена (БАЛАНС) (2)'!E469-'зведена (БАЛАНС) (2)'!F469,0)</f>
        <v>0</v>
      </c>
      <c r="F469" s="5">
        <f>IF('зведена (БАЛАНС) (2)'!F469&gt;'зведена (БАЛАНС) (2)'!E469,'зведена (БАЛАНС) (2)'!F469-'зведена (БАЛАНС) (2)'!E469,0)</f>
        <v>18203.599999999999</v>
      </c>
    </row>
    <row r="470" spans="1:6" x14ac:dyDescent="0.25">
      <c r="A470" s="33" t="s">
        <v>773</v>
      </c>
      <c r="B470" s="34" t="s">
        <v>984</v>
      </c>
      <c r="C470" s="18" t="s">
        <v>551</v>
      </c>
      <c r="D470" s="32" t="s">
        <v>1620</v>
      </c>
      <c r="E470" s="5">
        <f>IF('зведена (БАЛАНС) (2)'!E470&gt;'зведена (БАЛАНС) (2)'!F470,'зведена (БАЛАНС) (2)'!E470-'зведена (БАЛАНС) (2)'!F470,0)</f>
        <v>0</v>
      </c>
      <c r="F470" s="5">
        <f>IF('зведена (БАЛАНС) (2)'!F470&gt;'зведена (БАЛАНС) (2)'!E470,'зведена (БАЛАНС) (2)'!F470-'зведена (БАЛАНС) (2)'!E470,0)</f>
        <v>4438.1000000000004</v>
      </c>
    </row>
    <row r="471" spans="1:6" x14ac:dyDescent="0.25">
      <c r="A471" s="33" t="s">
        <v>773</v>
      </c>
      <c r="B471" s="34" t="s">
        <v>984</v>
      </c>
      <c r="C471" s="18" t="s">
        <v>552</v>
      </c>
      <c r="D471" s="32" t="s">
        <v>1621</v>
      </c>
      <c r="E471" s="5">
        <f>IF('зведена (БАЛАНС) (2)'!E471&gt;'зведена (БАЛАНС) (2)'!F471,'зведена (БАЛАНС) (2)'!E471-'зведена (БАЛАНС) (2)'!F471,0)</f>
        <v>0</v>
      </c>
      <c r="F471" s="5">
        <f>IF('зведена (БАЛАНС) (2)'!F471&gt;'зведена (БАЛАНС) (2)'!E471,'зведена (БАЛАНС) (2)'!F471-'зведена (БАЛАНС) (2)'!E471,0)</f>
        <v>2376.6999999999998</v>
      </c>
    </row>
    <row r="472" spans="1:6" x14ac:dyDescent="0.25">
      <c r="A472" s="33" t="s">
        <v>773</v>
      </c>
      <c r="B472" s="34" t="s">
        <v>984</v>
      </c>
      <c r="C472" s="18" t="s">
        <v>553</v>
      </c>
      <c r="D472" s="32" t="s">
        <v>1622</v>
      </c>
      <c r="E472" s="5">
        <f>IF('зведена (БАЛАНС) (2)'!E472&gt;'зведена (БАЛАНС) (2)'!F472,'зведена (БАЛАНС) (2)'!E472-'зведена (БАЛАНС) (2)'!F472,0)</f>
        <v>0</v>
      </c>
      <c r="F472" s="5">
        <f>IF('зведена (БАЛАНС) (2)'!F472&gt;'зведена (БАЛАНС) (2)'!E472,'зведена (БАЛАНС) (2)'!F472-'зведена (БАЛАНС) (2)'!E472,0)</f>
        <v>2947.7</v>
      </c>
    </row>
    <row r="473" spans="1:6" x14ac:dyDescent="0.25">
      <c r="A473" s="33" t="s">
        <v>773</v>
      </c>
      <c r="B473" s="34" t="s">
        <v>984</v>
      </c>
      <c r="C473" s="18" t="s">
        <v>554</v>
      </c>
      <c r="D473" s="32" t="s">
        <v>2968</v>
      </c>
      <c r="E473" s="5">
        <f>IF('зведена (БАЛАНС) (2)'!E473&gt;'зведена (БАЛАНС) (2)'!F473,'зведена (БАЛАНС) (2)'!E473-'зведена (БАЛАНС) (2)'!F473,0)</f>
        <v>1037.2</v>
      </c>
      <c r="F473" s="5">
        <f>IF('зведена (БАЛАНС) (2)'!F473&gt;'зведена (БАЛАНС) (2)'!E473,'зведена (БАЛАНС) (2)'!F473-'зведена (БАЛАНС) (2)'!E473,0)</f>
        <v>0</v>
      </c>
    </row>
    <row r="474" spans="1:6" x14ac:dyDescent="0.25">
      <c r="A474" s="33" t="s">
        <v>773</v>
      </c>
      <c r="B474" s="34" t="s">
        <v>984</v>
      </c>
      <c r="C474" s="18" t="s">
        <v>555</v>
      </c>
      <c r="D474" s="32" t="s">
        <v>1624</v>
      </c>
      <c r="E474" s="5">
        <f>IF('зведена (БАЛАНС) (2)'!E474&gt;'зведена (БАЛАНС) (2)'!F474,'зведена (БАЛАНС) (2)'!E474-'зведена (БАЛАНС) (2)'!F474,0)</f>
        <v>0</v>
      </c>
      <c r="F474" s="5">
        <f>IF('зведена (БАЛАНС) (2)'!F474&gt;'зведена (БАЛАНС) (2)'!E474,'зведена (БАЛАНС) (2)'!F474-'зведена (БАЛАНС) (2)'!E474,0)</f>
        <v>2361.4</v>
      </c>
    </row>
    <row r="475" spans="1:6" x14ac:dyDescent="0.25">
      <c r="A475" s="33" t="s">
        <v>773</v>
      </c>
      <c r="B475" s="34" t="s">
        <v>985</v>
      </c>
      <c r="C475" s="18" t="s">
        <v>556</v>
      </c>
      <c r="D475" s="32" t="s">
        <v>2969</v>
      </c>
      <c r="E475" s="5">
        <f>IF('зведена (БАЛАНС) (2)'!E475&gt;'зведена (БАЛАНС) (2)'!F475,'зведена (БАЛАНС) (2)'!E475-'зведена (БАЛАНС) (2)'!F475,0)</f>
        <v>0</v>
      </c>
      <c r="F475" s="5">
        <f>IF('зведена (БАЛАНС) (2)'!F475&gt;'зведена (БАЛАНС) (2)'!E475,'зведена (БАЛАНС) (2)'!F475-'зведена (БАЛАНС) (2)'!E475,0)</f>
        <v>6451.4</v>
      </c>
    </row>
    <row r="476" spans="1:6" x14ac:dyDescent="0.25">
      <c r="A476" s="33" t="s">
        <v>773</v>
      </c>
      <c r="B476" s="34" t="s">
        <v>985</v>
      </c>
      <c r="C476" s="18" t="s">
        <v>557</v>
      </c>
      <c r="D476" s="32" t="s">
        <v>1626</v>
      </c>
      <c r="E476" s="5">
        <f>IF('зведена (БАЛАНС) (2)'!E476&gt;'зведена (БАЛАНС) (2)'!F476,'зведена (БАЛАНС) (2)'!E476-'зведена (БАЛАНС) (2)'!F476,0)</f>
        <v>0</v>
      </c>
      <c r="F476" s="5">
        <f>IF('зведена (БАЛАНС) (2)'!F476&gt;'зведена (БАЛАНС) (2)'!E476,'зведена (БАЛАНС) (2)'!F476-'зведена (БАЛАНС) (2)'!E476,0)</f>
        <v>5691.6</v>
      </c>
    </row>
    <row r="477" spans="1:6" x14ac:dyDescent="0.25">
      <c r="A477" s="33" t="s">
        <v>773</v>
      </c>
      <c r="B477" s="34" t="s">
        <v>985</v>
      </c>
      <c r="C477" s="18" t="s">
        <v>558</v>
      </c>
      <c r="D477" s="32" t="s">
        <v>1627</v>
      </c>
      <c r="E477" s="5">
        <f>IF('зведена (БАЛАНС) (2)'!E477&gt;'зведена (БАЛАНС) (2)'!F477,'зведена (БАЛАНС) (2)'!E477-'зведена (БАЛАНС) (2)'!F477,0)</f>
        <v>0</v>
      </c>
      <c r="F477" s="5">
        <f>IF('зведена (БАЛАНС) (2)'!F477&gt;'зведена (БАЛАНС) (2)'!E477,'зведена (БАЛАНС) (2)'!F477-'зведена (БАЛАНС) (2)'!E477,0)</f>
        <v>17970</v>
      </c>
    </row>
    <row r="478" spans="1:6" x14ac:dyDescent="0.25">
      <c r="A478" s="33" t="s">
        <v>773</v>
      </c>
      <c r="B478" s="34" t="s">
        <v>984</v>
      </c>
      <c r="C478" s="18" t="s">
        <v>559</v>
      </c>
      <c r="D478" s="32" t="s">
        <v>1628</v>
      </c>
      <c r="E478" s="5">
        <f>IF('зведена (БАЛАНС) (2)'!E478&gt;'зведена (БАЛАНС) (2)'!F478,'зведена (БАЛАНС) (2)'!E478-'зведена (БАЛАНС) (2)'!F478,0)</f>
        <v>0</v>
      </c>
      <c r="F478" s="5">
        <f>IF('зведена (БАЛАНС) (2)'!F478&gt;'зведена (БАЛАНС) (2)'!E478,'зведена (БАЛАНС) (2)'!F478-'зведена (БАЛАНС) (2)'!E478,0)</f>
        <v>5378.7</v>
      </c>
    </row>
    <row r="479" spans="1:6" x14ac:dyDescent="0.25">
      <c r="A479" s="33" t="s">
        <v>773</v>
      </c>
      <c r="B479" s="34" t="s">
        <v>984</v>
      </c>
      <c r="C479" s="18" t="s">
        <v>690</v>
      </c>
      <c r="D479" s="32" t="s">
        <v>1629</v>
      </c>
      <c r="E479" s="5">
        <f>IF('зведена (БАЛАНС) (2)'!E479&gt;'зведена (БАЛАНС) (2)'!F479,'зведена (БАЛАНС) (2)'!E479-'зведена (БАЛАНС) (2)'!F479,0)</f>
        <v>0</v>
      </c>
      <c r="F479" s="5">
        <f>IF('зведена (БАЛАНС) (2)'!F479&gt;'зведена (БАЛАНС) (2)'!E479,'зведена (БАЛАНС) (2)'!F479-'зведена (БАЛАНС) (2)'!E479,0)</f>
        <v>7664.3</v>
      </c>
    </row>
    <row r="480" spans="1:6" x14ac:dyDescent="0.25">
      <c r="A480" s="34" t="s">
        <v>773</v>
      </c>
      <c r="B480" s="34" t="s">
        <v>985</v>
      </c>
      <c r="C480" s="30" t="s">
        <v>736</v>
      </c>
      <c r="D480" s="32" t="s">
        <v>1630</v>
      </c>
      <c r="E480" s="5">
        <f>IF('зведена (БАЛАНС) (2)'!E480&gt;'зведена (БАЛАНС) (2)'!F480,'зведена (БАЛАНС) (2)'!E480-'зведена (БАЛАНС) (2)'!F480,0)</f>
        <v>0</v>
      </c>
      <c r="F480" s="5">
        <f>IF('зведена (БАЛАНС) (2)'!F480&gt;'зведена (БАЛАНС) (2)'!E480,'зведена (БАЛАНС) (2)'!F480-'зведена (БАЛАНС) (2)'!E480,0)</f>
        <v>17338.900000000001</v>
      </c>
    </row>
    <row r="481" spans="1:6" x14ac:dyDescent="0.25">
      <c r="A481" s="34" t="s">
        <v>773</v>
      </c>
      <c r="B481" s="34" t="s">
        <v>984</v>
      </c>
      <c r="C481" s="30" t="s">
        <v>737</v>
      </c>
      <c r="D481" s="32" t="s">
        <v>1631</v>
      </c>
      <c r="E481" s="5">
        <f>IF('зведена (БАЛАНС) (2)'!E481&gt;'зведена (БАЛАНС) (2)'!F481,'зведена (БАЛАНС) (2)'!E481-'зведена (БАЛАНС) (2)'!F481,0)</f>
        <v>0</v>
      </c>
      <c r="F481" s="5">
        <f>IF('зведена (БАЛАНС) (2)'!F481&gt;'зведена (БАЛАНС) (2)'!E481,'зведена (БАЛАНС) (2)'!F481-'зведена (БАЛАНС) (2)'!E481,0)</f>
        <v>4572.5</v>
      </c>
    </row>
    <row r="482" spans="1:6" x14ac:dyDescent="0.25">
      <c r="A482" s="34" t="s">
        <v>773</v>
      </c>
      <c r="B482" s="34" t="s">
        <v>985</v>
      </c>
      <c r="C482" s="30" t="s">
        <v>831</v>
      </c>
      <c r="D482" s="32" t="s">
        <v>1368</v>
      </c>
      <c r="E482" s="5">
        <f>IF('зведена (БАЛАНС) (2)'!E482&gt;'зведена (БАЛАНС) (2)'!F482,'зведена (БАЛАНС) (2)'!E482-'зведена (БАЛАНС) (2)'!F482,0)</f>
        <v>0</v>
      </c>
      <c r="F482" s="5">
        <f>IF('зведена (БАЛАНС) (2)'!F482&gt;'зведена (БАЛАНС) (2)'!E482,'зведена (БАЛАНС) (2)'!F482-'зведена (БАЛАНС) (2)'!E482,0)</f>
        <v>5413</v>
      </c>
    </row>
    <row r="483" spans="1:6" x14ac:dyDescent="0.25">
      <c r="A483" s="34" t="s">
        <v>773</v>
      </c>
      <c r="B483" s="34" t="s">
        <v>984</v>
      </c>
      <c r="C483" s="30" t="s">
        <v>832</v>
      </c>
      <c r="D483" s="32" t="s">
        <v>2743</v>
      </c>
      <c r="E483" s="5">
        <f>IF('зведена (БАЛАНС) (2)'!E483&gt;'зведена (БАЛАНС) (2)'!F483,'зведена (БАЛАНС) (2)'!E483-'зведена (БАЛАНС) (2)'!F483,0)</f>
        <v>0</v>
      </c>
      <c r="F483" s="5">
        <f>IF('зведена (БАЛАНС) (2)'!F483&gt;'зведена (БАЛАНС) (2)'!E483,'зведена (БАЛАНС) (2)'!F483-'зведена (БАЛАНС) (2)'!E483,0)</f>
        <v>0</v>
      </c>
    </row>
    <row r="484" spans="1:6" x14ac:dyDescent="0.25">
      <c r="A484" s="34" t="s">
        <v>773</v>
      </c>
      <c r="B484" s="34" t="s">
        <v>984</v>
      </c>
      <c r="C484" s="30" t="s">
        <v>833</v>
      </c>
      <c r="D484" s="32" t="s">
        <v>1632</v>
      </c>
      <c r="E484" s="5">
        <f>IF('зведена (БАЛАНС) (2)'!E484&gt;'зведена (БАЛАНС) (2)'!F484,'зведена (БАЛАНС) (2)'!E484-'зведена (БАЛАНС) (2)'!F484,0)</f>
        <v>0</v>
      </c>
      <c r="F484" s="5">
        <f>IF('зведена (БАЛАНС) (2)'!F484&gt;'зведена (БАЛАНС) (2)'!E484,'зведена (БАЛАНС) (2)'!F484-'зведена (БАЛАНС) (2)'!E484,0)</f>
        <v>5071.3999999999996</v>
      </c>
    </row>
    <row r="485" spans="1:6" x14ac:dyDescent="0.25">
      <c r="A485" s="35" t="s">
        <v>773</v>
      </c>
      <c r="B485" s="34" t="s">
        <v>986</v>
      </c>
      <c r="C485" s="30" t="s">
        <v>979</v>
      </c>
      <c r="D485" s="32" t="s">
        <v>2970</v>
      </c>
      <c r="E485" s="5">
        <f>IF('зведена (БАЛАНС) (2)'!E485&gt;'зведена (БАЛАНС) (2)'!F485,'зведена (БАЛАНС) (2)'!E485-'зведена (БАЛАНС) (2)'!F485,0)</f>
        <v>0</v>
      </c>
      <c r="F485" s="5">
        <f>IF('зведена (БАЛАНС) (2)'!F485&gt;'зведена (БАЛАНС) (2)'!E485,'зведена (БАЛАНС) (2)'!F485-'зведена (БАЛАНС) (2)'!E485,0)</f>
        <v>74901.100000000006</v>
      </c>
    </row>
    <row r="486" spans="1:6" x14ac:dyDescent="0.25">
      <c r="A486" s="35" t="s">
        <v>773</v>
      </c>
      <c r="B486" s="34" t="s">
        <v>985</v>
      </c>
      <c r="C486" s="30" t="s">
        <v>980</v>
      </c>
      <c r="D486" s="32" t="s">
        <v>2971</v>
      </c>
      <c r="E486" s="5">
        <f>IF('зведена (БАЛАНС) (2)'!E486&gt;'зведена (БАЛАНС) (2)'!F486,'зведена (БАЛАНС) (2)'!E486-'зведена (БАЛАНС) (2)'!F486,0)</f>
        <v>0</v>
      </c>
      <c r="F486" s="5">
        <f>IF('зведена (БАЛАНС) (2)'!F486&gt;'зведена (БАЛАНС) (2)'!E486,'зведена (БАЛАНС) (2)'!F486-'зведена (БАЛАНС) (2)'!E486,0)</f>
        <v>5434.3</v>
      </c>
    </row>
    <row r="487" spans="1:6" x14ac:dyDescent="0.25">
      <c r="A487" s="35" t="s">
        <v>773</v>
      </c>
      <c r="B487" s="34" t="s">
        <v>984</v>
      </c>
      <c r="C487" s="30" t="s">
        <v>988</v>
      </c>
      <c r="D487" s="32" t="s">
        <v>2503</v>
      </c>
      <c r="E487" s="5">
        <f>IF('зведена (БАЛАНС) (2)'!E487&gt;'зведена (БАЛАНС) (2)'!F487,'зведена (БАЛАНС) (2)'!E487-'зведена (БАЛАНС) (2)'!F487,0)</f>
        <v>0</v>
      </c>
      <c r="F487" s="5">
        <f>IF('зведена (БАЛАНС) (2)'!F487&gt;'зведена (БАЛАНС) (2)'!E487,'зведена (БАЛАНС) (2)'!F487-'зведена (БАЛАНС) (2)'!E487,0)</f>
        <v>7657.4</v>
      </c>
    </row>
    <row r="488" spans="1:6" x14ac:dyDescent="0.25">
      <c r="A488" s="35" t="s">
        <v>773</v>
      </c>
      <c r="B488" s="34" t="s">
        <v>983</v>
      </c>
      <c r="C488" s="30" t="s">
        <v>989</v>
      </c>
      <c r="D488" s="32" t="s">
        <v>2972</v>
      </c>
      <c r="E488" s="5">
        <f>IF('зведена (БАЛАНС) (2)'!E488&gt;'зведена (БАЛАНС) (2)'!F488,'зведена (БАЛАНС) (2)'!E488-'зведена (БАЛАНС) (2)'!F488,0)</f>
        <v>11475.1</v>
      </c>
      <c r="F488" s="5">
        <f>IF('зведена (БАЛАНС) (2)'!F488&gt;'зведена (БАЛАНС) (2)'!E488,'зведена (БАЛАНС) (2)'!F488-'зведена (БАЛАНС) (2)'!E488,0)</f>
        <v>0</v>
      </c>
    </row>
    <row r="489" spans="1:6" x14ac:dyDescent="0.25">
      <c r="A489" s="35" t="s">
        <v>773</v>
      </c>
      <c r="B489" s="34" t="s">
        <v>985</v>
      </c>
      <c r="C489" s="30" t="s">
        <v>990</v>
      </c>
      <c r="D489" s="32" t="s">
        <v>2973</v>
      </c>
      <c r="E489" s="5">
        <f>IF('зведена (БАЛАНС) (2)'!E489&gt;'зведена (БАЛАНС) (2)'!F489,'зведена (БАЛАНС) (2)'!E489-'зведена (БАЛАНС) (2)'!F489,0)</f>
        <v>0</v>
      </c>
      <c r="F489" s="5">
        <f>IF('зведена (БАЛАНС) (2)'!F489&gt;'зведена (БАЛАНС) (2)'!E489,'зведена (БАЛАНС) (2)'!F489-'зведена (БАЛАНС) (2)'!E489,0)</f>
        <v>1442.7</v>
      </c>
    </row>
    <row r="490" spans="1:6" x14ac:dyDescent="0.25">
      <c r="A490" s="35" t="s">
        <v>773</v>
      </c>
      <c r="B490" s="34" t="s">
        <v>984</v>
      </c>
      <c r="C490" s="30" t="s">
        <v>1042</v>
      </c>
      <c r="D490" s="32" t="s">
        <v>2974</v>
      </c>
      <c r="E490" s="5">
        <f>IF('зведена (БАЛАНС) (2)'!E490&gt;'зведена (БАЛАНС) (2)'!F490,'зведена (БАЛАНС) (2)'!E490-'зведена (БАЛАНС) (2)'!F490,0)</f>
        <v>0</v>
      </c>
      <c r="F490" s="5">
        <f>IF('зведена (БАЛАНС) (2)'!F490&gt;'зведена (БАЛАНС) (2)'!E490,'зведена (БАЛАНС) (2)'!F490-'зведена (БАЛАНС) (2)'!E490,0)</f>
        <v>3241.3</v>
      </c>
    </row>
    <row r="491" spans="1:6" x14ac:dyDescent="0.25">
      <c r="A491" s="35" t="s">
        <v>773</v>
      </c>
      <c r="B491" s="34" t="s">
        <v>984</v>
      </c>
      <c r="C491" s="30" t="s">
        <v>1043</v>
      </c>
      <c r="D491" s="32" t="s">
        <v>2975</v>
      </c>
      <c r="E491" s="5">
        <f>IF('зведена (БАЛАНС) (2)'!E491&gt;'зведена (БАЛАНС) (2)'!F491,'зведена (БАЛАНС) (2)'!E491-'зведена (БАЛАНС) (2)'!F491,0)</f>
        <v>0</v>
      </c>
      <c r="F491" s="5">
        <f>IF('зведена (БАЛАНС) (2)'!F491&gt;'зведена (БАЛАНС) (2)'!E491,'зведена (БАЛАНС) (2)'!F491-'зведена (БАЛАНС) (2)'!E491,0)</f>
        <v>0</v>
      </c>
    </row>
    <row r="492" spans="1:6" x14ac:dyDescent="0.25">
      <c r="A492" s="35" t="s">
        <v>773</v>
      </c>
      <c r="B492" s="34" t="s">
        <v>984</v>
      </c>
      <c r="C492" s="30" t="s">
        <v>1044</v>
      </c>
      <c r="D492" s="32" t="s">
        <v>2976</v>
      </c>
      <c r="E492" s="5">
        <f>IF('зведена (БАЛАНС) (2)'!E492&gt;'зведена (БАЛАНС) (2)'!F492,'зведена (БАЛАНС) (2)'!E492-'зведена (БАЛАНС) (2)'!F492,0)</f>
        <v>0</v>
      </c>
      <c r="F492" s="5">
        <f>IF('зведена (БАЛАНС) (2)'!F492&gt;'зведена (БАЛАНС) (2)'!E492,'зведена (БАЛАНС) (2)'!F492-'зведена (БАЛАНС) (2)'!E492,0)</f>
        <v>5445.9</v>
      </c>
    </row>
    <row r="493" spans="1:6" x14ac:dyDescent="0.25">
      <c r="A493" s="35" t="s">
        <v>773</v>
      </c>
      <c r="B493" s="34" t="s">
        <v>984</v>
      </c>
      <c r="C493" s="30" t="s">
        <v>1045</v>
      </c>
      <c r="D493" s="32" t="s">
        <v>1430</v>
      </c>
      <c r="E493" s="5">
        <f>IF('зведена (БАЛАНС) (2)'!E493&gt;'зведена (БАЛАНС) (2)'!F493,'зведена (БАЛАНС) (2)'!E493-'зведена (БАЛАНС) (2)'!F493,0)</f>
        <v>488.9</v>
      </c>
      <c r="F493" s="5">
        <f>IF('зведена (БАЛАНС) (2)'!F493&gt;'зведена (БАЛАНС) (2)'!E493,'зведена (БАЛАНС) (2)'!F493-'зведена (БАЛАНС) (2)'!E493,0)</f>
        <v>0</v>
      </c>
    </row>
    <row r="494" spans="1:6" x14ac:dyDescent="0.25">
      <c r="A494" s="35" t="s">
        <v>773</v>
      </c>
      <c r="B494" s="34" t="s">
        <v>985</v>
      </c>
      <c r="C494" s="30" t="s">
        <v>2744</v>
      </c>
      <c r="D494" s="32" t="s">
        <v>2977</v>
      </c>
      <c r="E494" s="5">
        <f>IF('зведена (БАЛАНС) (2)'!E494&gt;'зведена (БАЛАНС) (2)'!F494,'зведена (БАЛАНС) (2)'!E494-'зведена (БАЛАНС) (2)'!F494,0)</f>
        <v>0</v>
      </c>
      <c r="F494" s="5">
        <f>IF('зведена (БАЛАНС) (2)'!F494&gt;'зведена (БАЛАНС) (2)'!E494,'зведена (БАЛАНС) (2)'!F494-'зведена (БАЛАНС) (2)'!E494,0)</f>
        <v>135.1</v>
      </c>
    </row>
    <row r="495" spans="1:6" x14ac:dyDescent="0.25">
      <c r="A495" s="35" t="s">
        <v>773</v>
      </c>
      <c r="B495" s="34" t="s">
        <v>984</v>
      </c>
      <c r="C495" s="30" t="s">
        <v>1046</v>
      </c>
      <c r="D495" s="32" t="s">
        <v>2978</v>
      </c>
      <c r="E495" s="5">
        <f>IF('зведена (БАЛАНС) (2)'!E495&gt;'зведена (БАЛАНС) (2)'!F495,'зведена (БАЛАНС) (2)'!E495-'зведена (БАЛАНС) (2)'!F495,0)</f>
        <v>0</v>
      </c>
      <c r="F495" s="5">
        <f>IF('зведена (БАЛАНС) (2)'!F495&gt;'зведена (БАЛАНС) (2)'!E495,'зведена (БАЛАНС) (2)'!F495-'зведена (БАЛАНС) (2)'!E495,0)</f>
        <v>800.6</v>
      </c>
    </row>
    <row r="496" spans="1:6" x14ac:dyDescent="0.25">
      <c r="A496" s="35" t="s">
        <v>773</v>
      </c>
      <c r="B496" s="34" t="s">
        <v>985</v>
      </c>
      <c r="C496" s="30" t="s">
        <v>1644</v>
      </c>
      <c r="D496" s="80" t="s">
        <v>1645</v>
      </c>
      <c r="E496" s="5">
        <f>IF('зведена (БАЛАНС) (2)'!E496&gt;'зведена (БАЛАНС) (2)'!F496,'зведена (БАЛАНС) (2)'!E496-'зведена (БАЛАНС) (2)'!F496,0)</f>
        <v>0</v>
      </c>
      <c r="F496" s="5">
        <f>IF('зведена (БАЛАНС) (2)'!F496&gt;'зведена (БАЛАНС) (2)'!E496,'зведена (БАЛАНС) (2)'!F496-'зведена (БАЛАНС) (2)'!E496,0)</f>
        <v>4684.3999999999996</v>
      </c>
    </row>
    <row r="497" spans="1:6" x14ac:dyDescent="0.25">
      <c r="A497" s="35" t="s">
        <v>773</v>
      </c>
      <c r="B497" s="34" t="s">
        <v>983</v>
      </c>
      <c r="C497" s="30" t="s">
        <v>1646</v>
      </c>
      <c r="D497" s="80" t="s">
        <v>1647</v>
      </c>
      <c r="E497" s="5">
        <f>IF('зведена (БАЛАНС) (2)'!E497&gt;'зведена (БАЛАНС) (2)'!F497,'зведена (БАЛАНС) (2)'!E497-'зведена (БАЛАНС) (2)'!F497,0)</f>
        <v>0</v>
      </c>
      <c r="F497" s="5">
        <f>IF('зведена (БАЛАНС) (2)'!F497&gt;'зведена (БАЛАНС) (2)'!E497,'зведена (БАЛАНС) (2)'!F497-'зведена (БАЛАНС) (2)'!E497,0)</f>
        <v>2376.1999999999998</v>
      </c>
    </row>
    <row r="498" spans="1:6" x14ac:dyDescent="0.25">
      <c r="A498" s="35" t="s">
        <v>773</v>
      </c>
      <c r="B498" s="34" t="s">
        <v>983</v>
      </c>
      <c r="C498" s="30" t="s">
        <v>1648</v>
      </c>
      <c r="D498" s="80" t="s">
        <v>1649</v>
      </c>
      <c r="E498" s="5">
        <f>IF('зведена (БАЛАНС) (2)'!E498&gt;'зведена (БАЛАНС) (2)'!F498,'зведена (БАЛАНС) (2)'!E498-'зведена (БАЛАНС) (2)'!F498,0)</f>
        <v>0</v>
      </c>
      <c r="F498" s="5">
        <f>IF('зведена (БАЛАНС) (2)'!F498&gt;'зведена (БАЛАНС) (2)'!E498,'зведена (БАЛАНС) (2)'!F498-'зведена (БАЛАНС) (2)'!E498,0)</f>
        <v>0</v>
      </c>
    </row>
    <row r="499" spans="1:6" x14ac:dyDescent="0.25">
      <c r="A499" s="35" t="s">
        <v>773</v>
      </c>
      <c r="B499" s="34" t="s">
        <v>983</v>
      </c>
      <c r="C499" s="30" t="s">
        <v>1650</v>
      </c>
      <c r="D499" s="80" t="s">
        <v>1651</v>
      </c>
      <c r="E499" s="5">
        <f>IF('зведена (БАЛАНС) (2)'!E499&gt;'зведена (БАЛАНС) (2)'!F499,'зведена (БАЛАНС) (2)'!E499-'зведена (БАЛАНС) (2)'!F499,0)</f>
        <v>0</v>
      </c>
      <c r="F499" s="5">
        <f>IF('зведена (БАЛАНС) (2)'!F499&gt;'зведена (БАЛАНС) (2)'!E499,'зведена (БАЛАНС) (2)'!F499-'зведена (БАЛАНС) (2)'!E499,0)</f>
        <v>15337.3</v>
      </c>
    </row>
    <row r="500" spans="1:6" x14ac:dyDescent="0.25">
      <c r="A500" s="35" t="s">
        <v>773</v>
      </c>
      <c r="B500" s="34" t="s">
        <v>986</v>
      </c>
      <c r="C500" s="30" t="s">
        <v>1652</v>
      </c>
      <c r="D500" s="80" t="s">
        <v>1653</v>
      </c>
      <c r="E500" s="5">
        <f>IF('зведена (БАЛАНС) (2)'!E500&gt;'зведена (БАЛАНС) (2)'!F500,'зведена (БАЛАНС) (2)'!E500-'зведена (БАЛАНС) (2)'!F500,0)</f>
        <v>224368.2</v>
      </c>
      <c r="F500" s="5">
        <f>IF('зведена (БАЛАНС) (2)'!F500&gt;'зведена (БАЛАНС) (2)'!E500,'зведена (БАЛАНС) (2)'!F500-'зведена (БАЛАНС) (2)'!E500,0)</f>
        <v>0</v>
      </c>
    </row>
    <row r="501" spans="1:6" x14ac:dyDescent="0.25">
      <c r="A501" s="35" t="s">
        <v>773</v>
      </c>
      <c r="B501" s="34" t="s">
        <v>986</v>
      </c>
      <c r="C501" s="30" t="s">
        <v>1654</v>
      </c>
      <c r="D501" s="80" t="s">
        <v>1655</v>
      </c>
      <c r="E501" s="5">
        <f>IF('зведена (БАЛАНС) (2)'!E501&gt;'зведена (БАЛАНС) (2)'!F501,'зведена (БАЛАНС) (2)'!E501-'зведена (БАЛАНС) (2)'!F501,0)</f>
        <v>493435.2</v>
      </c>
      <c r="F501" s="5">
        <f>IF('зведена (БАЛАНС) (2)'!F501&gt;'зведена (БАЛАНС) (2)'!E501,'зведена (БАЛАНС) (2)'!F501-'зведена (БАЛАНС) (2)'!E501,0)</f>
        <v>0</v>
      </c>
    </row>
    <row r="502" spans="1:6" x14ac:dyDescent="0.25">
      <c r="A502" s="35" t="s">
        <v>773</v>
      </c>
      <c r="B502" s="34" t="s">
        <v>984</v>
      </c>
      <c r="C502" s="30" t="s">
        <v>1656</v>
      </c>
      <c r="D502" s="80" t="s">
        <v>1657</v>
      </c>
      <c r="E502" s="5">
        <f>IF('зведена (БАЛАНС) (2)'!E502&gt;'зведена (БАЛАНС) (2)'!F502,'зведена (БАЛАНС) (2)'!E502-'зведена (БАЛАНС) (2)'!F502,0)</f>
        <v>0</v>
      </c>
      <c r="F502" s="5">
        <f>IF('зведена (БАЛАНС) (2)'!F502&gt;'зведена (БАЛАНС) (2)'!E502,'зведена (БАЛАНС) (2)'!F502-'зведена (БАЛАНС) (2)'!E502,0)</f>
        <v>4176.1000000000004</v>
      </c>
    </row>
    <row r="503" spans="1:6" x14ac:dyDescent="0.25">
      <c r="A503" s="35" t="s">
        <v>773</v>
      </c>
      <c r="B503" s="34" t="s">
        <v>984</v>
      </c>
      <c r="C503" s="30" t="s">
        <v>1658</v>
      </c>
      <c r="D503" s="80" t="s">
        <v>1659</v>
      </c>
      <c r="E503" s="5">
        <f>IF('зведена (БАЛАНС) (2)'!E503&gt;'зведена (БАЛАНС) (2)'!F503,'зведена (БАЛАНС) (2)'!E503-'зведена (БАЛАНС) (2)'!F503,0)</f>
        <v>0</v>
      </c>
      <c r="F503" s="5">
        <f>IF('зведена (БАЛАНС) (2)'!F503&gt;'зведена (БАЛАНС) (2)'!E503,'зведена (БАЛАНС) (2)'!F503-'зведена (БАЛАНС) (2)'!E503,0)</f>
        <v>25107.1</v>
      </c>
    </row>
    <row r="504" spans="1:6" x14ac:dyDescent="0.25">
      <c r="A504" s="35" t="s">
        <v>773</v>
      </c>
      <c r="B504" s="34" t="s">
        <v>985</v>
      </c>
      <c r="C504" s="30" t="s">
        <v>1660</v>
      </c>
      <c r="D504" s="80" t="s">
        <v>1661</v>
      </c>
      <c r="E504" s="5">
        <f>IF('зведена (БАЛАНС) (2)'!E504&gt;'зведена (БАЛАНС) (2)'!F504,'зведена (БАЛАНС) (2)'!E504-'зведена (БАЛАНС) (2)'!F504,0)</f>
        <v>0</v>
      </c>
      <c r="F504" s="5">
        <f>IF('зведена (БАЛАНС) (2)'!F504&gt;'зведена (БАЛАНС) (2)'!E504,'зведена (БАЛАНС) (2)'!F504-'зведена (БАЛАНС) (2)'!E504,0)</f>
        <v>29789</v>
      </c>
    </row>
    <row r="505" spans="1:6" x14ac:dyDescent="0.25">
      <c r="A505" s="35" t="s">
        <v>773</v>
      </c>
      <c r="B505" s="34" t="s">
        <v>984</v>
      </c>
      <c r="C505" s="30" t="s">
        <v>1662</v>
      </c>
      <c r="D505" s="80" t="s">
        <v>1663</v>
      </c>
      <c r="E505" s="5">
        <f>IF('зведена (БАЛАНС) (2)'!E505&gt;'зведена (БАЛАНС) (2)'!F505,'зведена (БАЛАНС) (2)'!E505-'зведена (БАЛАНС) (2)'!F505,0)</f>
        <v>55028</v>
      </c>
      <c r="F505" s="5">
        <f>IF('зведена (БАЛАНС) (2)'!F505&gt;'зведена (БАЛАНС) (2)'!E505,'зведена (БАЛАНС) (2)'!F505-'зведена (БАЛАНС) (2)'!E505,0)</f>
        <v>0</v>
      </c>
    </row>
    <row r="506" spans="1:6" x14ac:dyDescent="0.25">
      <c r="A506" s="35" t="s">
        <v>773</v>
      </c>
      <c r="B506" s="34" t="s">
        <v>984</v>
      </c>
      <c r="C506" s="30" t="s">
        <v>1664</v>
      </c>
      <c r="D506" s="80" t="s">
        <v>1665</v>
      </c>
      <c r="E506" s="5">
        <f>IF('зведена (БАЛАНС) (2)'!E506&gt;'зведена (БАЛАНС) (2)'!F506,'зведена (БАЛАНС) (2)'!E506-'зведена (БАЛАНС) (2)'!F506,0)</f>
        <v>0</v>
      </c>
      <c r="F506" s="5">
        <f>IF('зведена (БАЛАНС) (2)'!F506&gt;'зведена (БАЛАНС) (2)'!E506,'зведена (БАЛАНС) (2)'!F506-'зведена (БАЛАНС) (2)'!E506,0)</f>
        <v>2163.6</v>
      </c>
    </row>
    <row r="507" spans="1:6" x14ac:dyDescent="0.25">
      <c r="A507" s="35" t="s">
        <v>773</v>
      </c>
      <c r="B507" s="34" t="s">
        <v>986</v>
      </c>
      <c r="C507" s="30" t="s">
        <v>1666</v>
      </c>
      <c r="D507" s="80" t="s">
        <v>1667</v>
      </c>
      <c r="E507" s="5">
        <f>IF('зведена (БАЛАНС) (2)'!E507&gt;'зведена (БАЛАНС) (2)'!F507,'зведена (БАЛАНС) (2)'!E507-'зведена (БАЛАНС) (2)'!F507,0)</f>
        <v>0</v>
      </c>
      <c r="F507" s="5">
        <f>IF('зведена (БАЛАНС) (2)'!F507&gt;'зведена (БАЛАНС) (2)'!E507,'зведена (БАЛАНС) (2)'!F507-'зведена (БАЛАНС) (2)'!E507,0)</f>
        <v>57936.7</v>
      </c>
    </row>
    <row r="508" spans="1:6" ht="31.5" x14ac:dyDescent="0.25">
      <c r="A508" s="35" t="s">
        <v>773</v>
      </c>
      <c r="B508" s="34" t="s">
        <v>984</v>
      </c>
      <c r="C508" s="30" t="s">
        <v>1668</v>
      </c>
      <c r="D508" s="80" t="s">
        <v>1669</v>
      </c>
      <c r="E508" s="5">
        <f>IF('зведена (БАЛАНС) (2)'!E508&gt;'зведена (БАЛАНС) (2)'!F508,'зведена (БАЛАНС) (2)'!E508-'зведена (БАЛАНС) (2)'!F508,0)</f>
        <v>0</v>
      </c>
      <c r="F508" s="5">
        <f>IF('зведена (БАЛАНС) (2)'!F508&gt;'зведена (БАЛАНС) (2)'!E508,'зведена (БАЛАНС) (2)'!F508-'зведена (БАЛАНС) (2)'!E508,0)</f>
        <v>4138.2</v>
      </c>
    </row>
    <row r="509" spans="1:6" x14ac:dyDescent="0.25">
      <c r="A509" s="35" t="s">
        <v>773</v>
      </c>
      <c r="B509" s="34" t="s">
        <v>983</v>
      </c>
      <c r="C509" s="30" t="s">
        <v>1670</v>
      </c>
      <c r="D509" s="80" t="s">
        <v>1671</v>
      </c>
      <c r="E509" s="5">
        <f>IF('зведена (БАЛАНС) (2)'!E509&gt;'зведена (БАЛАНС) (2)'!F509,'зведена (БАЛАНС) (2)'!E509-'зведена (БАЛАНС) (2)'!F509,0)</f>
        <v>0</v>
      </c>
      <c r="F509" s="5">
        <f>IF('зведена (БАЛАНС) (2)'!F509&gt;'зведена (БАЛАНС) (2)'!E509,'зведена (БАЛАНС) (2)'!F509-'зведена (БАЛАНС) (2)'!E509,0)</f>
        <v>4637.1000000000004</v>
      </c>
    </row>
    <row r="510" spans="1:6" x14ac:dyDescent="0.25">
      <c r="A510" s="35" t="s">
        <v>773</v>
      </c>
      <c r="B510" s="34" t="s">
        <v>985</v>
      </c>
      <c r="C510" s="30" t="s">
        <v>1672</v>
      </c>
      <c r="D510" s="80" t="s">
        <v>1673</v>
      </c>
      <c r="E510" s="5">
        <f>IF('зведена (БАЛАНС) (2)'!E510&gt;'зведена (БАЛАНС) (2)'!F510,'зведена (БАЛАНС) (2)'!E510-'зведена (БАЛАНС) (2)'!F510,0)</f>
        <v>0</v>
      </c>
      <c r="F510" s="5">
        <f>IF('зведена (БАЛАНС) (2)'!F510&gt;'зведена (БАЛАНС) (2)'!E510,'зведена (БАЛАНС) (2)'!F510-'зведена (БАЛАНС) (2)'!E510,0)</f>
        <v>9381.1</v>
      </c>
    </row>
    <row r="511" spans="1:6" x14ac:dyDescent="0.25">
      <c r="A511" s="35" t="s">
        <v>773</v>
      </c>
      <c r="B511" s="34" t="s">
        <v>985</v>
      </c>
      <c r="C511" s="30" t="s">
        <v>1674</v>
      </c>
      <c r="D511" s="80" t="s">
        <v>1675</v>
      </c>
      <c r="E511" s="5">
        <f>IF('зведена (БАЛАНС) (2)'!E511&gt;'зведена (БАЛАНС) (2)'!F511,'зведена (БАЛАНС) (2)'!E511-'зведена (БАЛАНС) (2)'!F511,0)</f>
        <v>0</v>
      </c>
      <c r="F511" s="5">
        <f>IF('зведена (БАЛАНС) (2)'!F511&gt;'зведена (БАЛАНС) (2)'!E511,'зведена (БАЛАНС) (2)'!F511-'зведена (БАЛАНС) (2)'!E511,0)</f>
        <v>3478.3</v>
      </c>
    </row>
    <row r="512" spans="1:6" x14ac:dyDescent="0.25">
      <c r="A512" s="35" t="s">
        <v>773</v>
      </c>
      <c r="B512" s="34" t="s">
        <v>984</v>
      </c>
      <c r="C512" s="30" t="s">
        <v>1676</v>
      </c>
      <c r="D512" s="80" t="s">
        <v>1677</v>
      </c>
      <c r="E512" s="5">
        <f>IF('зведена (БАЛАНС) (2)'!E512&gt;'зведена (БАЛАНС) (2)'!F512,'зведена (БАЛАНС) (2)'!E512-'зведена (БАЛАНС) (2)'!F512,0)</f>
        <v>0</v>
      </c>
      <c r="F512" s="5">
        <f>IF('зведена (БАЛАНС) (2)'!F512&gt;'зведена (БАЛАНС) (2)'!E512,'зведена (БАЛАНС) (2)'!F512-'зведена (БАЛАНС) (2)'!E512,0)</f>
        <v>10029.4</v>
      </c>
    </row>
    <row r="513" spans="1:6" x14ac:dyDescent="0.25">
      <c r="A513" s="35" t="s">
        <v>773</v>
      </c>
      <c r="B513" s="34" t="s">
        <v>985</v>
      </c>
      <c r="C513" s="30" t="s">
        <v>1678</v>
      </c>
      <c r="D513" s="80" t="s">
        <v>1679</v>
      </c>
      <c r="E513" s="5">
        <f>IF('зведена (БАЛАНС) (2)'!E513&gt;'зведена (БАЛАНС) (2)'!F513,'зведена (БАЛАНС) (2)'!E513-'зведена (БАЛАНС) (2)'!F513,0)</f>
        <v>0</v>
      </c>
      <c r="F513" s="5">
        <f>IF('зведена (БАЛАНС) (2)'!F513&gt;'зведена (БАЛАНС) (2)'!E513,'зведена (БАЛАНС) (2)'!F513-'зведена (БАЛАНС) (2)'!E513,0)</f>
        <v>14513.8</v>
      </c>
    </row>
    <row r="514" spans="1:6" x14ac:dyDescent="0.25">
      <c r="A514" s="35" t="s">
        <v>773</v>
      </c>
      <c r="B514" s="34" t="s">
        <v>984</v>
      </c>
      <c r="C514" s="30" t="s">
        <v>1680</v>
      </c>
      <c r="D514" s="80" t="s">
        <v>2838</v>
      </c>
      <c r="E514" s="5">
        <f>IF('зведена (БАЛАНС) (2)'!E514&gt;'зведена (БАЛАНС) (2)'!F514,'зведена (БАЛАНС) (2)'!E514-'зведена (БАЛАНС) (2)'!F514,0)</f>
        <v>0</v>
      </c>
      <c r="F514" s="5">
        <f>IF('зведена (БАЛАНС) (2)'!F514&gt;'зведена (БАЛАНС) (2)'!E514,'зведена (БАЛАНС) (2)'!F514-'зведена (БАЛАНС) (2)'!E514,0)</f>
        <v>6888.4</v>
      </c>
    </row>
    <row r="515" spans="1:6" s="28" customFormat="1" x14ac:dyDescent="0.25">
      <c r="A515" s="35" t="s">
        <v>773</v>
      </c>
      <c r="B515" s="34" t="s">
        <v>986</v>
      </c>
      <c r="C515" s="30" t="s">
        <v>1681</v>
      </c>
      <c r="D515" s="80" t="s">
        <v>1682</v>
      </c>
      <c r="E515" s="5">
        <f>IF('зведена (БАЛАНС) (2)'!E515&gt;'зведена (БАЛАНС) (2)'!F515,'зведена (БАЛАНС) (2)'!E515-'зведена (БАЛАНС) (2)'!F515,0)</f>
        <v>0</v>
      </c>
      <c r="F515" s="5">
        <f>IF('зведена (БАЛАНС) (2)'!F515&gt;'зведена (БАЛАНС) (2)'!E515,'зведена (БАЛАНС) (2)'!F515-'зведена (БАЛАНС) (2)'!E515,0)</f>
        <v>30724.400000000001</v>
      </c>
    </row>
    <row r="516" spans="1:6" s="28" customFormat="1" x14ac:dyDescent="0.25">
      <c r="A516" s="17" t="s">
        <v>777</v>
      </c>
      <c r="B516" s="17" t="s">
        <v>7</v>
      </c>
      <c r="C516" s="17" t="s">
        <v>778</v>
      </c>
      <c r="D516" s="11" t="s">
        <v>13</v>
      </c>
      <c r="E516" s="11">
        <f>E517+E518+E525</f>
        <v>100207.70000000001</v>
      </c>
      <c r="F516" s="11">
        <f>F517+F518+F525</f>
        <v>1330618.4999999998</v>
      </c>
    </row>
    <row r="517" spans="1:6" s="28" customFormat="1" x14ac:dyDescent="0.25">
      <c r="A517" s="33" t="s">
        <v>777</v>
      </c>
      <c r="B517" s="34" t="s">
        <v>6</v>
      </c>
      <c r="C517" s="18" t="s">
        <v>96</v>
      </c>
      <c r="D517" s="32" t="s">
        <v>846</v>
      </c>
      <c r="E517" s="5">
        <f>IF('зведена (БАЛАНС) (2)'!E517&gt;'зведена (БАЛАНС) (2)'!F517,'зведена (БАЛАНС) (2)'!E517-'зведена (БАЛАНС) (2)'!F517,0)</f>
        <v>0</v>
      </c>
      <c r="F517" s="5">
        <f>IF('зведена (БАЛАНС) (2)'!F517&gt;'зведена (БАЛАНС) (2)'!E517,'зведена (БАЛАНС) (2)'!F517-'зведена (БАЛАНС) (2)'!E517,0)</f>
        <v>226634</v>
      </c>
    </row>
    <row r="518" spans="1:6" s="28" customFormat="1" x14ac:dyDescent="0.25">
      <c r="A518" s="19" t="s">
        <v>777</v>
      </c>
      <c r="B518" s="19" t="s">
        <v>5</v>
      </c>
      <c r="C518" s="19" t="s">
        <v>779</v>
      </c>
      <c r="D518" s="7" t="s">
        <v>2801</v>
      </c>
      <c r="E518" s="7">
        <f>SUM(E519:E524)</f>
        <v>0</v>
      </c>
      <c r="F518" s="7">
        <f>SUM(F519:F524)</f>
        <v>0</v>
      </c>
    </row>
    <row r="519" spans="1:6" s="28" customFormat="1" ht="21.75" customHeight="1" x14ac:dyDescent="0.25">
      <c r="A519" s="33" t="s">
        <v>777</v>
      </c>
      <c r="B519" s="34" t="s">
        <v>4</v>
      </c>
      <c r="C519" s="18" t="s">
        <v>2745</v>
      </c>
      <c r="D519" s="32" t="s">
        <v>2746</v>
      </c>
      <c r="E519" s="5">
        <f>IF('зведена (БАЛАНС) (2)'!E519&gt;'зведена (БАЛАНС) (2)'!F519,'зведена (БАЛАНС) (2)'!E519-'зведена (БАЛАНС) (2)'!F519,0)</f>
        <v>0</v>
      </c>
      <c r="F519" s="5">
        <f>IF('зведена (БАЛАНС) (2)'!F519&gt;'зведена (БАЛАНС) (2)'!E519,'зведена (БАЛАНС) (2)'!F519-'зведена (БАЛАНС) (2)'!E519,0)</f>
        <v>0</v>
      </c>
    </row>
    <row r="520" spans="1:6" s="28" customFormat="1" x14ac:dyDescent="0.25">
      <c r="A520" s="33" t="s">
        <v>777</v>
      </c>
      <c r="B520" s="34" t="s">
        <v>4</v>
      </c>
      <c r="C520" s="18" t="s">
        <v>97</v>
      </c>
      <c r="D520" s="32" t="s">
        <v>911</v>
      </c>
      <c r="E520" s="5">
        <f>IF('зведена (БАЛАНС) (2)'!E520&gt;'зведена (БАЛАНС) (2)'!F520,'зведена (БАЛАНС) (2)'!E520-'зведена (БАЛАНС) (2)'!F520,0)</f>
        <v>0</v>
      </c>
      <c r="F520" s="5">
        <f>IF('зведена (БАЛАНС) (2)'!F520&gt;'зведена (БАЛАНС) (2)'!E520,'зведена (БАЛАНС) (2)'!F520-'зведена (БАЛАНС) (2)'!E520,0)</f>
        <v>0</v>
      </c>
    </row>
    <row r="521" spans="1:6" s="28" customFormat="1" x14ac:dyDescent="0.25">
      <c r="A521" s="33" t="s">
        <v>777</v>
      </c>
      <c r="B521" s="34" t="s">
        <v>4</v>
      </c>
      <c r="C521" s="18" t="s">
        <v>98</v>
      </c>
      <c r="D521" s="32" t="s">
        <v>912</v>
      </c>
      <c r="E521" s="5">
        <f>IF('зведена (БАЛАНС) (2)'!E521&gt;'зведена (БАЛАНС) (2)'!F521,'зведена (БАЛАНС) (2)'!E521-'зведена (БАЛАНС) (2)'!F521,0)</f>
        <v>0</v>
      </c>
      <c r="F521" s="5">
        <f>IF('зведена (БАЛАНС) (2)'!F521&gt;'зведена (БАЛАНС) (2)'!E521,'зведена (БАЛАНС) (2)'!F521-'зведена (БАЛАНС) (2)'!E521,0)</f>
        <v>0</v>
      </c>
    </row>
    <row r="522" spans="1:6" s="28" customFormat="1" x14ac:dyDescent="0.25">
      <c r="A522" s="33" t="s">
        <v>777</v>
      </c>
      <c r="B522" s="34" t="s">
        <v>4</v>
      </c>
      <c r="C522" s="18" t="s">
        <v>99</v>
      </c>
      <c r="D522" s="32" t="s">
        <v>913</v>
      </c>
      <c r="E522" s="5">
        <f>IF('зведена (БАЛАНС) (2)'!E522&gt;'зведена (БАЛАНС) (2)'!F522,'зведена (БАЛАНС) (2)'!E522-'зведена (БАЛАНС) (2)'!F522,0)</f>
        <v>0</v>
      </c>
      <c r="F522" s="5">
        <f>IF('зведена (БАЛАНС) (2)'!F522&gt;'зведена (БАЛАНС) (2)'!E522,'зведена (БАЛАНС) (2)'!F522-'зведена (БАЛАНС) (2)'!E522,0)</f>
        <v>0</v>
      </c>
    </row>
    <row r="523" spans="1:6" s="28" customFormat="1" x14ac:dyDescent="0.25">
      <c r="A523" s="33" t="s">
        <v>777</v>
      </c>
      <c r="B523" s="34" t="s">
        <v>4</v>
      </c>
      <c r="C523" s="18" t="s">
        <v>100</v>
      </c>
      <c r="D523" s="32" t="s">
        <v>914</v>
      </c>
      <c r="E523" s="5">
        <f>IF('зведена (БАЛАНС) (2)'!E523&gt;'зведена (БАЛАНС) (2)'!F523,'зведена (БАЛАНС) (2)'!E523-'зведена (БАЛАНС) (2)'!F523,0)</f>
        <v>0</v>
      </c>
      <c r="F523" s="5">
        <f>IF('зведена (БАЛАНС) (2)'!F523&gt;'зведена (БАЛАНС) (2)'!E523,'зведена (БАЛАНС) (2)'!F523-'зведена (БАЛАНС) (2)'!E523,0)</f>
        <v>0</v>
      </c>
    </row>
    <row r="524" spans="1:6" s="27" customFormat="1" x14ac:dyDescent="0.25">
      <c r="A524" s="33" t="s">
        <v>777</v>
      </c>
      <c r="B524" s="34" t="s">
        <v>4</v>
      </c>
      <c r="C524" s="30" t="s">
        <v>1683</v>
      </c>
      <c r="D524" s="32" t="s">
        <v>1684</v>
      </c>
      <c r="E524" s="5">
        <f>IF('зведена (БАЛАНС) (2)'!E524&gt;'зведена (БАЛАНС) (2)'!F524,'зведена (БАЛАНС) (2)'!E524-'зведена (БАЛАНС) (2)'!F524,0)</f>
        <v>0</v>
      </c>
      <c r="F524" s="5">
        <f>IF('зведена (БАЛАНС) (2)'!F524&gt;'зведена (БАЛАНС) (2)'!E524,'зведена (БАЛАНС) (2)'!F524-'зведена (БАЛАНС) (2)'!E524,0)</f>
        <v>0</v>
      </c>
    </row>
    <row r="525" spans="1:6" ht="31.5" x14ac:dyDescent="0.25">
      <c r="A525" s="19" t="s">
        <v>777</v>
      </c>
      <c r="B525" s="19" t="s">
        <v>28</v>
      </c>
      <c r="C525" s="19" t="s">
        <v>780</v>
      </c>
      <c r="D525" s="20" t="s">
        <v>2775</v>
      </c>
      <c r="E525" s="7">
        <f>SUM(E526:E587)</f>
        <v>100207.70000000001</v>
      </c>
      <c r="F525" s="7">
        <f>SUM(F526:F587)</f>
        <v>1103984.4999999998</v>
      </c>
    </row>
    <row r="526" spans="1:6" x14ac:dyDescent="0.25">
      <c r="A526" s="33" t="s">
        <v>777</v>
      </c>
      <c r="B526" s="34" t="s">
        <v>984</v>
      </c>
      <c r="C526" s="18" t="s">
        <v>101</v>
      </c>
      <c r="D526" s="32" t="s">
        <v>1685</v>
      </c>
      <c r="E526" s="5">
        <f>IF('зведена (БАЛАНС) (2)'!E526&gt;'зведена (БАЛАНС) (2)'!F526,'зведена (БАЛАНС) (2)'!E526-'зведена (БАЛАНС) (2)'!F526,0)</f>
        <v>0</v>
      </c>
      <c r="F526" s="5">
        <f>IF('зведена (БАЛАНС) (2)'!F526&gt;'зведена (БАЛАНС) (2)'!E526,'зведена (БАЛАНС) (2)'!F526-'зведена (БАЛАНС) (2)'!E526,0)</f>
        <v>16407.2</v>
      </c>
    </row>
    <row r="527" spans="1:6" x14ac:dyDescent="0.25">
      <c r="A527" s="33" t="s">
        <v>777</v>
      </c>
      <c r="B527" s="34" t="s">
        <v>985</v>
      </c>
      <c r="C527" s="18" t="s">
        <v>102</v>
      </c>
      <c r="D527" s="32" t="s">
        <v>1686</v>
      </c>
      <c r="E527" s="5">
        <f>IF('зведена (БАЛАНС) (2)'!E527&gt;'зведена (БАЛАНС) (2)'!F527,'зведена (БАЛАНС) (2)'!E527-'зведена (БАЛАНС) (2)'!F527,0)</f>
        <v>0</v>
      </c>
      <c r="F527" s="5">
        <f>IF('зведена (БАЛАНС) (2)'!F527&gt;'зведена (БАЛАНС) (2)'!E527,'зведена (БАЛАНС) (2)'!F527-'зведена (БАЛАНС) (2)'!E527,0)</f>
        <v>31414.400000000001</v>
      </c>
    </row>
    <row r="528" spans="1:6" ht="31.5" x14ac:dyDescent="0.25">
      <c r="A528" s="33" t="s">
        <v>777</v>
      </c>
      <c r="B528" s="34" t="s">
        <v>984</v>
      </c>
      <c r="C528" s="18" t="s">
        <v>103</v>
      </c>
      <c r="D528" s="32" t="s">
        <v>1687</v>
      </c>
      <c r="E528" s="5">
        <f>IF('зведена (БАЛАНС) (2)'!E528&gt;'зведена (БАЛАНС) (2)'!F528,'зведена (БАЛАНС) (2)'!E528-'зведена (БАЛАНС) (2)'!F528,0)</f>
        <v>0</v>
      </c>
      <c r="F528" s="5">
        <f>IF('зведена (БАЛАНС) (2)'!F528&gt;'зведена (БАЛАНС) (2)'!E528,'зведена (БАЛАНС) (2)'!F528-'зведена (БАЛАНС) (2)'!E528,0)</f>
        <v>10953</v>
      </c>
    </row>
    <row r="529" spans="1:6" x14ac:dyDescent="0.25">
      <c r="A529" s="33" t="s">
        <v>777</v>
      </c>
      <c r="B529" s="34" t="s">
        <v>984</v>
      </c>
      <c r="C529" s="18" t="s">
        <v>293</v>
      </c>
      <c r="D529" s="32" t="s">
        <v>1688</v>
      </c>
      <c r="E529" s="5">
        <f>IF('зведена (БАЛАНС) (2)'!E529&gt;'зведена (БАЛАНС) (2)'!F529,'зведена (БАЛАНС) (2)'!E529-'зведена (БАЛАНС) (2)'!F529,0)</f>
        <v>0</v>
      </c>
      <c r="F529" s="5">
        <f>IF('зведена (БАЛАНС) (2)'!F529&gt;'зведена (БАЛАНС) (2)'!E529,'зведена (БАЛАНС) (2)'!F529-'зведена (БАЛАНС) (2)'!E529,0)</f>
        <v>14264.9</v>
      </c>
    </row>
    <row r="530" spans="1:6" x14ac:dyDescent="0.25">
      <c r="A530" s="33" t="s">
        <v>777</v>
      </c>
      <c r="B530" s="34" t="s">
        <v>983</v>
      </c>
      <c r="C530" s="18" t="s">
        <v>369</v>
      </c>
      <c r="D530" s="32" t="s">
        <v>2979</v>
      </c>
      <c r="E530" s="5">
        <f>IF('зведена (БАЛАНС) (2)'!E530&gt;'зведена (БАЛАНС) (2)'!F530,'зведена (БАЛАНС) (2)'!E530-'зведена (БАЛАНС) (2)'!F530,0)</f>
        <v>0</v>
      </c>
      <c r="F530" s="5">
        <f>IF('зведена (БАЛАНС) (2)'!F530&gt;'зведена (БАЛАНС) (2)'!E530,'зведена (БАЛАНС) (2)'!F530-'зведена (БАЛАНС) (2)'!E530,0)</f>
        <v>41781.199999999997</v>
      </c>
    </row>
    <row r="531" spans="1:6" x14ac:dyDescent="0.25">
      <c r="A531" s="33" t="s">
        <v>777</v>
      </c>
      <c r="B531" s="34" t="s">
        <v>985</v>
      </c>
      <c r="C531" s="18" t="s">
        <v>370</v>
      </c>
      <c r="D531" s="32" t="s">
        <v>1690</v>
      </c>
      <c r="E531" s="5">
        <f>IF('зведена (БАЛАНС) (2)'!E531&gt;'зведена (БАЛАНС) (2)'!F531,'зведена (БАЛАНС) (2)'!E531-'зведена (БАЛАНС) (2)'!F531,0)</f>
        <v>0</v>
      </c>
      <c r="F531" s="5">
        <f>IF('зведена (БАЛАНС) (2)'!F531&gt;'зведена (БАЛАНС) (2)'!E531,'зведена (БАЛАНС) (2)'!F531-'зведена (БАЛАНС) (2)'!E531,0)</f>
        <v>12785.1</v>
      </c>
    </row>
    <row r="532" spans="1:6" x14ac:dyDescent="0.25">
      <c r="A532" s="33" t="s">
        <v>777</v>
      </c>
      <c r="B532" s="34" t="s">
        <v>984</v>
      </c>
      <c r="C532" s="18" t="s">
        <v>371</v>
      </c>
      <c r="D532" s="32" t="s">
        <v>1691</v>
      </c>
      <c r="E532" s="5">
        <f>IF('зведена (БАЛАНС) (2)'!E532&gt;'зведена (БАЛАНС) (2)'!F532,'зведена (БАЛАНС) (2)'!E532-'зведена (БАЛАНС) (2)'!F532,0)</f>
        <v>0</v>
      </c>
      <c r="F532" s="5">
        <f>IF('зведена (БАЛАНС) (2)'!F532&gt;'зведена (БАЛАНС) (2)'!E532,'зведена (БАЛАНС) (2)'!F532-'зведена (БАЛАНС) (2)'!E532,0)</f>
        <v>10912.5</v>
      </c>
    </row>
    <row r="533" spans="1:6" x14ac:dyDescent="0.25">
      <c r="A533" s="33" t="s">
        <v>777</v>
      </c>
      <c r="B533" s="34" t="s">
        <v>984</v>
      </c>
      <c r="C533" s="18" t="s">
        <v>372</v>
      </c>
      <c r="D533" s="32" t="s">
        <v>1692</v>
      </c>
      <c r="E533" s="5">
        <f>IF('зведена (БАЛАНС) (2)'!E533&gt;'зведена (БАЛАНС) (2)'!F533,'зведена (БАЛАНС) (2)'!E533-'зведена (БАЛАНС) (2)'!F533,0)</f>
        <v>0</v>
      </c>
      <c r="F533" s="5">
        <f>IF('зведена (БАЛАНС) (2)'!F533&gt;'зведена (БАЛАНС) (2)'!E533,'зведена (БАЛАНС) (2)'!F533-'зведена (БАЛАНС) (2)'!E533,0)</f>
        <v>15801.2</v>
      </c>
    </row>
    <row r="534" spans="1:6" x14ac:dyDescent="0.25">
      <c r="A534" s="33" t="s">
        <v>777</v>
      </c>
      <c r="B534" s="34" t="s">
        <v>984</v>
      </c>
      <c r="C534" s="18" t="s">
        <v>373</v>
      </c>
      <c r="D534" s="32" t="s">
        <v>1693</v>
      </c>
      <c r="E534" s="5">
        <f>IF('зведена (БАЛАНС) (2)'!E534&gt;'зведена (БАЛАНС) (2)'!F534,'зведена (БАЛАНС) (2)'!E534-'зведена (БАЛАНС) (2)'!F534,0)</f>
        <v>0</v>
      </c>
      <c r="F534" s="5">
        <f>IF('зведена (БАЛАНС) (2)'!F534&gt;'зведена (БАЛАНС) (2)'!E534,'зведена (БАЛАНС) (2)'!F534-'зведена (БАЛАНС) (2)'!E534,0)</f>
        <v>13913.6</v>
      </c>
    </row>
    <row r="535" spans="1:6" x14ac:dyDescent="0.25">
      <c r="A535" s="33" t="s">
        <v>777</v>
      </c>
      <c r="B535" s="34" t="s">
        <v>984</v>
      </c>
      <c r="C535" s="18" t="s">
        <v>374</v>
      </c>
      <c r="D535" s="32" t="s">
        <v>1694</v>
      </c>
      <c r="E535" s="5">
        <f>IF('зведена (БАЛАНС) (2)'!E535&gt;'зведена (БАЛАНС) (2)'!F535,'зведена (БАЛАНС) (2)'!E535-'зведена (БАЛАНС) (2)'!F535,0)</f>
        <v>0</v>
      </c>
      <c r="F535" s="5">
        <f>IF('зведена (БАЛАНС) (2)'!F535&gt;'зведена (БАЛАНС) (2)'!E535,'зведена (БАЛАНС) (2)'!F535-'зведена (БАЛАНС) (2)'!E535,0)</f>
        <v>24663.9</v>
      </c>
    </row>
    <row r="536" spans="1:6" x14ac:dyDescent="0.25">
      <c r="A536" s="33" t="s">
        <v>777</v>
      </c>
      <c r="B536" s="34" t="s">
        <v>984</v>
      </c>
      <c r="C536" s="18" t="s">
        <v>375</v>
      </c>
      <c r="D536" s="32" t="s">
        <v>1695</v>
      </c>
      <c r="E536" s="5">
        <f>IF('зведена (БАЛАНС) (2)'!E536&gt;'зведена (БАЛАНС) (2)'!F536,'зведена (БАЛАНС) (2)'!E536-'зведена (БАЛАНС) (2)'!F536,0)</f>
        <v>0</v>
      </c>
      <c r="F536" s="5">
        <f>IF('зведена (БАЛАНС) (2)'!F536&gt;'зведена (БАЛАНС) (2)'!E536,'зведена (БАЛАНС) (2)'!F536-'зведена (БАЛАНС) (2)'!E536,0)</f>
        <v>20667.2</v>
      </c>
    </row>
    <row r="537" spans="1:6" x14ac:dyDescent="0.25">
      <c r="A537" s="33" t="s">
        <v>777</v>
      </c>
      <c r="B537" s="34" t="s">
        <v>984</v>
      </c>
      <c r="C537" s="18" t="s">
        <v>484</v>
      </c>
      <c r="D537" s="32" t="s">
        <v>1696</v>
      </c>
      <c r="E537" s="5">
        <f>IF('зведена (БАЛАНС) (2)'!E537&gt;'зведена (БАЛАНС) (2)'!F537,'зведена (БАЛАНС) (2)'!E537-'зведена (БАЛАНС) (2)'!F537,0)</f>
        <v>0</v>
      </c>
      <c r="F537" s="5">
        <f>IF('зведена (БАЛАНС) (2)'!F537&gt;'зведена (БАЛАНС) (2)'!E537,'зведена (БАЛАНС) (2)'!F537-'зведена (БАЛАНС) (2)'!E537,0)</f>
        <v>15554.3</v>
      </c>
    </row>
    <row r="538" spans="1:6" x14ac:dyDescent="0.25">
      <c r="A538" s="33" t="s">
        <v>777</v>
      </c>
      <c r="B538" s="34" t="s">
        <v>984</v>
      </c>
      <c r="C538" s="18" t="s">
        <v>560</v>
      </c>
      <c r="D538" s="32" t="s">
        <v>1697</v>
      </c>
      <c r="E538" s="5">
        <f>IF('зведена (БАЛАНС) (2)'!E538&gt;'зведена (БАЛАНС) (2)'!F538,'зведена (БАЛАНС) (2)'!E538-'зведена (БАЛАНС) (2)'!F538,0)</f>
        <v>0</v>
      </c>
      <c r="F538" s="5">
        <f>IF('зведена (БАЛАНС) (2)'!F538&gt;'зведена (БАЛАНС) (2)'!E538,'зведена (БАЛАНС) (2)'!F538-'зведена (БАЛАНС) (2)'!E538,0)</f>
        <v>16380.3</v>
      </c>
    </row>
    <row r="539" spans="1:6" x14ac:dyDescent="0.25">
      <c r="A539" s="33" t="s">
        <v>777</v>
      </c>
      <c r="B539" s="34" t="s">
        <v>984</v>
      </c>
      <c r="C539" s="18" t="s">
        <v>561</v>
      </c>
      <c r="D539" s="32" t="s">
        <v>1698</v>
      </c>
      <c r="E539" s="5">
        <f>IF('зведена (БАЛАНС) (2)'!E539&gt;'зведена (БАЛАНС) (2)'!F539,'зведена (БАЛАНС) (2)'!E539-'зведена (БАЛАНС) (2)'!F539,0)</f>
        <v>0</v>
      </c>
      <c r="F539" s="5">
        <f>IF('зведена (БАЛАНС) (2)'!F539&gt;'зведена (БАЛАНС) (2)'!E539,'зведена (БАЛАНС) (2)'!F539-'зведена (БАЛАНС) (2)'!E539,0)</f>
        <v>23786.2</v>
      </c>
    </row>
    <row r="540" spans="1:6" s="29" customFormat="1" x14ac:dyDescent="0.25">
      <c r="A540" s="33" t="s">
        <v>777</v>
      </c>
      <c r="B540" s="34" t="s">
        <v>985</v>
      </c>
      <c r="C540" s="18" t="s">
        <v>562</v>
      </c>
      <c r="D540" s="32" t="s">
        <v>1699</v>
      </c>
      <c r="E540" s="5">
        <f>IF('зведена (БАЛАНС) (2)'!E540&gt;'зведена (БАЛАНС) (2)'!F540,'зведена (БАЛАНС) (2)'!E540-'зведена (БАЛАНС) (2)'!F540,0)</f>
        <v>0</v>
      </c>
      <c r="F540" s="5">
        <f>IF('зведена (БАЛАНС) (2)'!F540&gt;'зведена (БАЛАНС) (2)'!E540,'зведена (БАЛАНС) (2)'!F540-'зведена (БАЛАНС) (2)'!E540,0)</f>
        <v>28951.599999999999</v>
      </c>
    </row>
    <row r="541" spans="1:6" s="29" customFormat="1" x14ac:dyDescent="0.25">
      <c r="A541" s="33" t="s">
        <v>777</v>
      </c>
      <c r="B541" s="34" t="s">
        <v>984</v>
      </c>
      <c r="C541" s="18" t="s">
        <v>563</v>
      </c>
      <c r="D541" s="32" t="s">
        <v>1700</v>
      </c>
      <c r="E541" s="5">
        <f>IF('зведена (БАЛАНС) (2)'!E541&gt;'зведена (БАЛАНС) (2)'!F541,'зведена (БАЛАНС) (2)'!E541-'зведена (БАЛАНС) (2)'!F541,0)</f>
        <v>0</v>
      </c>
      <c r="F541" s="5">
        <f>IF('зведена (БАЛАНС) (2)'!F541&gt;'зведена (БАЛАНС) (2)'!E541,'зведена (БАЛАНС) (2)'!F541-'зведена (БАЛАНС) (2)'!E541,0)</f>
        <v>17783.5</v>
      </c>
    </row>
    <row r="542" spans="1:6" s="29" customFormat="1" x14ac:dyDescent="0.25">
      <c r="A542" s="33" t="s">
        <v>777</v>
      </c>
      <c r="B542" s="34" t="s">
        <v>985</v>
      </c>
      <c r="C542" s="18" t="s">
        <v>564</v>
      </c>
      <c r="D542" s="32" t="s">
        <v>1701</v>
      </c>
      <c r="E542" s="5">
        <f>IF('зведена (БАЛАНС) (2)'!E542&gt;'зведена (БАЛАНС) (2)'!F542,'зведена (БАЛАНС) (2)'!E542-'зведена (БАЛАНС) (2)'!F542,0)</f>
        <v>0</v>
      </c>
      <c r="F542" s="5">
        <f>IF('зведена (БАЛАНС) (2)'!F542&gt;'зведена (БАЛАНС) (2)'!E542,'зведена (БАЛАНС) (2)'!F542-'зведена (БАЛАНС) (2)'!E542,0)</f>
        <v>21620.5</v>
      </c>
    </row>
    <row r="543" spans="1:6" s="29" customFormat="1" x14ac:dyDescent="0.25">
      <c r="A543" s="33" t="s">
        <v>777</v>
      </c>
      <c r="B543" s="34" t="s">
        <v>985</v>
      </c>
      <c r="C543" s="18" t="s">
        <v>565</v>
      </c>
      <c r="D543" s="32" t="s">
        <v>1702</v>
      </c>
      <c r="E543" s="5">
        <f>IF('зведена (БАЛАНС) (2)'!E543&gt;'зведена (БАЛАНС) (2)'!F543,'зведена (БАЛАНС) (2)'!E543-'зведена (БАЛАНС) (2)'!F543,0)</f>
        <v>0</v>
      </c>
      <c r="F543" s="5">
        <f>IF('зведена (БАЛАНС) (2)'!F543&gt;'зведена (БАЛАНС) (2)'!E543,'зведена (БАЛАНС) (2)'!F543-'зведена (БАЛАНС) (2)'!E543,0)</f>
        <v>35380.800000000003</v>
      </c>
    </row>
    <row r="544" spans="1:6" x14ac:dyDescent="0.25">
      <c r="A544" s="33" t="s">
        <v>777</v>
      </c>
      <c r="B544" s="34" t="s">
        <v>984</v>
      </c>
      <c r="C544" s="18" t="s">
        <v>566</v>
      </c>
      <c r="D544" s="32" t="s">
        <v>2980</v>
      </c>
      <c r="E544" s="5">
        <f>IF('зведена (БАЛАНС) (2)'!E544&gt;'зведена (БАЛАНС) (2)'!F544,'зведена (БАЛАНС) (2)'!E544-'зведена (БАЛАНС) (2)'!F544,0)</f>
        <v>28250.5</v>
      </c>
      <c r="F544" s="5">
        <f>IF('зведена (БАЛАНС) (2)'!F544&gt;'зведена (БАЛАНС) (2)'!E544,'зведена (БАЛАНС) (2)'!F544-'зведена (БАЛАНС) (2)'!E544,0)</f>
        <v>0</v>
      </c>
    </row>
    <row r="545" spans="1:6" x14ac:dyDescent="0.25">
      <c r="A545" s="33" t="s">
        <v>777</v>
      </c>
      <c r="B545" s="34" t="s">
        <v>985</v>
      </c>
      <c r="C545" s="18" t="s">
        <v>567</v>
      </c>
      <c r="D545" s="32" t="s">
        <v>1704</v>
      </c>
      <c r="E545" s="5">
        <f>IF('зведена (БАЛАНС) (2)'!E545&gt;'зведена (БАЛАНС) (2)'!F545,'зведена (БАЛАНС) (2)'!E545-'зведена (БАЛАНС) (2)'!F545,0)</f>
        <v>0</v>
      </c>
      <c r="F545" s="5">
        <f>IF('зведена (БАЛАНС) (2)'!F545&gt;'зведена (БАЛАНС) (2)'!E545,'зведена (БАЛАНС) (2)'!F545-'зведена (БАЛАНС) (2)'!E545,0)</f>
        <v>4856.6000000000004</v>
      </c>
    </row>
    <row r="546" spans="1:6" x14ac:dyDescent="0.25">
      <c r="A546" s="33" t="s">
        <v>777</v>
      </c>
      <c r="B546" s="34" t="s">
        <v>985</v>
      </c>
      <c r="C546" s="18" t="s">
        <v>691</v>
      </c>
      <c r="D546" s="32" t="s">
        <v>1705</v>
      </c>
      <c r="E546" s="5">
        <f>IF('зведена (БАЛАНС) (2)'!E546&gt;'зведена (БАЛАНС) (2)'!F546,'зведена (БАЛАНС) (2)'!E546-'зведена (БАЛАНС) (2)'!F546,0)</f>
        <v>0</v>
      </c>
      <c r="F546" s="5">
        <f>IF('зведена (БАЛАНС) (2)'!F546&gt;'зведена (БАЛАНС) (2)'!E546,'зведена (БАЛАНС) (2)'!F546-'зведена (БАЛАНС) (2)'!E546,0)</f>
        <v>17985.599999999999</v>
      </c>
    </row>
    <row r="547" spans="1:6" x14ac:dyDescent="0.25">
      <c r="A547" s="33" t="s">
        <v>777</v>
      </c>
      <c r="B547" s="34" t="s">
        <v>985</v>
      </c>
      <c r="C547" s="18" t="s">
        <v>692</v>
      </c>
      <c r="D547" s="32" t="s">
        <v>1706</v>
      </c>
      <c r="E547" s="5">
        <f>IF('зведена (БАЛАНС) (2)'!E547&gt;'зведена (БАЛАНС) (2)'!F547,'зведена (БАЛАНС) (2)'!E547-'зведена (БАЛАНС) (2)'!F547,0)</f>
        <v>0</v>
      </c>
      <c r="F547" s="5">
        <f>IF('зведена (БАЛАНС) (2)'!F547&gt;'зведена (БАЛАНС) (2)'!E547,'зведена (БАЛАНС) (2)'!F547-'зведена (БАЛАНС) (2)'!E547,0)</f>
        <v>32537</v>
      </c>
    </row>
    <row r="548" spans="1:6" x14ac:dyDescent="0.25">
      <c r="A548" s="33" t="s">
        <v>777</v>
      </c>
      <c r="B548" s="34" t="s">
        <v>984</v>
      </c>
      <c r="C548" s="18" t="s">
        <v>693</v>
      </c>
      <c r="D548" s="32" t="s">
        <v>1707</v>
      </c>
      <c r="E548" s="5">
        <f>IF('зведена (БАЛАНС) (2)'!E548&gt;'зведена (БАЛАНС) (2)'!F548,'зведена (БАЛАНС) (2)'!E548-'зведена (БАЛАНС) (2)'!F548,0)</f>
        <v>0</v>
      </c>
      <c r="F548" s="5">
        <f>IF('зведена (БАЛАНС) (2)'!F548&gt;'зведена (БАЛАНС) (2)'!E548,'зведена (БАЛАНС) (2)'!F548-'зведена (БАЛАНС) (2)'!E548,0)</f>
        <v>11007.6</v>
      </c>
    </row>
    <row r="549" spans="1:6" x14ac:dyDescent="0.25">
      <c r="A549" s="33" t="s">
        <v>777</v>
      </c>
      <c r="B549" s="34" t="s">
        <v>984</v>
      </c>
      <c r="C549" s="18" t="s">
        <v>834</v>
      </c>
      <c r="D549" s="32" t="s">
        <v>1708</v>
      </c>
      <c r="E549" s="5">
        <f>IF('зведена (БАЛАНС) (2)'!E549&gt;'зведена (БАЛАНС) (2)'!F549,'зведена (БАЛАНС) (2)'!E549-'зведена (БАЛАНС) (2)'!F549,0)</f>
        <v>0</v>
      </c>
      <c r="F549" s="5">
        <f>IF('зведена (БАЛАНС) (2)'!F549&gt;'зведена (БАЛАНС) (2)'!E549,'зведена (БАЛАНС) (2)'!F549-'зведена (БАЛАНС) (2)'!E549,0)</f>
        <v>7367.6</v>
      </c>
    </row>
    <row r="550" spans="1:6" x14ac:dyDescent="0.25">
      <c r="A550" s="33" t="s">
        <v>777</v>
      </c>
      <c r="B550" s="34" t="s">
        <v>984</v>
      </c>
      <c r="C550" s="18" t="s">
        <v>835</v>
      </c>
      <c r="D550" s="32" t="s">
        <v>1709</v>
      </c>
      <c r="E550" s="5">
        <f>IF('зведена (БАЛАНС) (2)'!E550&gt;'зведена (БАЛАНС) (2)'!F550,'зведена (БАЛАНС) (2)'!E550-'зведена (БАЛАНС) (2)'!F550,0)</f>
        <v>0</v>
      </c>
      <c r="F550" s="5">
        <f>IF('зведена (БАЛАНС) (2)'!F550&gt;'зведена (БАЛАНС) (2)'!E550,'зведена (БАЛАНС) (2)'!F550-'зведена (БАЛАНС) (2)'!E550,0)</f>
        <v>4133.2</v>
      </c>
    </row>
    <row r="551" spans="1:6" x14ac:dyDescent="0.25">
      <c r="A551" s="33" t="s">
        <v>777</v>
      </c>
      <c r="B551" s="34" t="s">
        <v>985</v>
      </c>
      <c r="C551" s="18" t="s">
        <v>873</v>
      </c>
      <c r="D551" s="32" t="s">
        <v>1710</v>
      </c>
      <c r="E551" s="5">
        <f>IF('зведена (БАЛАНС) (2)'!E551&gt;'зведена (БАЛАНС) (2)'!F551,'зведена (БАЛАНС) (2)'!E551-'зведена (БАЛАНС) (2)'!F551,0)</f>
        <v>0</v>
      </c>
      <c r="F551" s="5">
        <f>IF('зведена (БАЛАНС) (2)'!F551&gt;'зведена (БАЛАНС) (2)'!E551,'зведена (БАЛАНС) (2)'!F551-'зведена (БАЛАНС) (2)'!E551,0)</f>
        <v>8118.2</v>
      </c>
    </row>
    <row r="552" spans="1:6" x14ac:dyDescent="0.25">
      <c r="A552" s="33" t="s">
        <v>777</v>
      </c>
      <c r="B552" s="34" t="s">
        <v>985</v>
      </c>
      <c r="C552" s="18" t="s">
        <v>874</v>
      </c>
      <c r="D552" s="32" t="s">
        <v>1711</v>
      </c>
      <c r="E552" s="5">
        <f>IF('зведена (БАЛАНС) (2)'!E552&gt;'зведена (БАЛАНС) (2)'!F552,'зведена (БАЛАНС) (2)'!E552-'зведена (БАЛАНС) (2)'!F552,0)</f>
        <v>0</v>
      </c>
      <c r="F552" s="5">
        <f>IF('зведена (БАЛАНС) (2)'!F552&gt;'зведена (БАЛАНС) (2)'!E552,'зведена (БАЛАНС) (2)'!F552-'зведена (БАЛАНС) (2)'!E552,0)</f>
        <v>19463.099999999999</v>
      </c>
    </row>
    <row r="553" spans="1:6" x14ac:dyDescent="0.25">
      <c r="A553" s="33" t="s">
        <v>777</v>
      </c>
      <c r="B553" s="34" t="s">
        <v>984</v>
      </c>
      <c r="C553" s="18" t="s">
        <v>875</v>
      </c>
      <c r="D553" s="32" t="s">
        <v>1712</v>
      </c>
      <c r="E553" s="5">
        <f>IF('зведена (БАЛАНС) (2)'!E553&gt;'зведена (БАЛАНС) (2)'!F553,'зведена (БАЛАНС) (2)'!E553-'зведена (БАЛАНС) (2)'!F553,0)</f>
        <v>0</v>
      </c>
      <c r="F553" s="5">
        <f>IF('зведена (БАЛАНС) (2)'!F553&gt;'зведена (БАЛАНС) (2)'!E553,'зведена (БАЛАНС) (2)'!F553-'зведена (БАЛАНС) (2)'!E553,0)</f>
        <v>15577.7</v>
      </c>
    </row>
    <row r="554" spans="1:6" x14ac:dyDescent="0.25">
      <c r="A554" s="33" t="s">
        <v>777</v>
      </c>
      <c r="B554" s="34" t="s">
        <v>984</v>
      </c>
      <c r="C554" s="18" t="s">
        <v>876</v>
      </c>
      <c r="D554" s="32" t="s">
        <v>1713</v>
      </c>
      <c r="E554" s="5">
        <f>IF('зведена (БАЛАНС) (2)'!E554&gt;'зведена (БАЛАНС) (2)'!F554,'зведена (БАЛАНС) (2)'!E554-'зведена (БАЛАНС) (2)'!F554,0)</f>
        <v>0</v>
      </c>
      <c r="F554" s="5">
        <f>IF('зведена (БАЛАНС) (2)'!F554&gt;'зведена (БАЛАНС) (2)'!E554,'зведена (БАЛАНС) (2)'!F554-'зведена (БАЛАНС) (2)'!E554,0)</f>
        <v>27781.8</v>
      </c>
    </row>
    <row r="555" spans="1:6" x14ac:dyDescent="0.25">
      <c r="A555" s="33" t="s">
        <v>777</v>
      </c>
      <c r="B555" s="34" t="s">
        <v>986</v>
      </c>
      <c r="C555" s="30" t="s">
        <v>981</v>
      </c>
      <c r="D555" s="32" t="s">
        <v>2981</v>
      </c>
      <c r="E555" s="5">
        <f>IF('зведена (БАЛАНС) (2)'!E555&gt;'зведена (БАЛАНС) (2)'!F555,'зведена (БАЛАНС) (2)'!E555-'зведена (БАЛАНС) (2)'!F555,0)</f>
        <v>0</v>
      </c>
      <c r="F555" s="5">
        <f>IF('зведена (БАЛАНС) (2)'!F555&gt;'зведена (БАЛАНС) (2)'!E555,'зведена (БАЛАНС) (2)'!F555-'зведена (БАЛАНС) (2)'!E555,0)</f>
        <v>0</v>
      </c>
    </row>
    <row r="556" spans="1:6" x14ac:dyDescent="0.25">
      <c r="A556" s="33" t="s">
        <v>777</v>
      </c>
      <c r="B556" s="34" t="s">
        <v>986</v>
      </c>
      <c r="C556" s="30" t="s">
        <v>991</v>
      </c>
      <c r="D556" s="32" t="s">
        <v>2982</v>
      </c>
      <c r="E556" s="5">
        <f>IF('зведена (БАЛАНС) (2)'!E556&gt;'зведена (БАЛАНС) (2)'!F556,'зведена (БАЛАНС) (2)'!E556-'зведена (БАЛАНС) (2)'!F556,0)</f>
        <v>0</v>
      </c>
      <c r="F556" s="5">
        <f>IF('зведена (БАЛАНС) (2)'!F556&gt;'зведена (БАЛАНС) (2)'!E556,'зведена (БАЛАНС) (2)'!F556-'зведена (БАЛАНС) (2)'!E556,0)</f>
        <v>0</v>
      </c>
    </row>
    <row r="557" spans="1:6" x14ac:dyDescent="0.25">
      <c r="A557" s="33" t="s">
        <v>777</v>
      </c>
      <c r="B557" s="34" t="s">
        <v>983</v>
      </c>
      <c r="C557" s="30" t="s">
        <v>1024</v>
      </c>
      <c r="D557" s="32" t="s">
        <v>1870</v>
      </c>
      <c r="E557" s="5">
        <f>IF('зведена (БАЛАНС) (2)'!E557&gt;'зведена (БАЛАНС) (2)'!F557,'зведена (БАЛАНС) (2)'!E557-'зведена (БАЛАНС) (2)'!F557,0)</f>
        <v>0</v>
      </c>
      <c r="F557" s="5">
        <f>IF('зведена (БАЛАНС) (2)'!F557&gt;'зведена (БАЛАНС) (2)'!E557,'зведена (БАЛАНС) (2)'!F557-'зведена (БАЛАНС) (2)'!E557,0)</f>
        <v>0</v>
      </c>
    </row>
    <row r="558" spans="1:6" s="28" customFormat="1" x14ac:dyDescent="0.25">
      <c r="A558" s="33" t="s">
        <v>777</v>
      </c>
      <c r="B558" s="34" t="s">
        <v>986</v>
      </c>
      <c r="C558" s="30" t="s">
        <v>1047</v>
      </c>
      <c r="D558" s="32" t="s">
        <v>2983</v>
      </c>
      <c r="E558" s="5">
        <f>IF('зведена (БАЛАНС) (2)'!E558&gt;'зведена (БАЛАНС) (2)'!F558,'зведена (БАЛАНС) (2)'!E558-'зведена (БАЛАНС) (2)'!F558,0)</f>
        <v>71720.100000000006</v>
      </c>
      <c r="F558" s="5">
        <f>IF('зведена (БАЛАНС) (2)'!F558&gt;'зведена (БАЛАНС) (2)'!E558,'зведена (БАЛАНС) (2)'!F558-'зведена (БАЛАНС) (2)'!E558,0)</f>
        <v>0</v>
      </c>
    </row>
    <row r="559" spans="1:6" s="28" customFormat="1" x14ac:dyDescent="0.25">
      <c r="A559" s="33" t="s">
        <v>777</v>
      </c>
      <c r="B559" s="34" t="s">
        <v>985</v>
      </c>
      <c r="C559" s="30" t="s">
        <v>1048</v>
      </c>
      <c r="D559" s="32" t="s">
        <v>2984</v>
      </c>
      <c r="E559" s="5">
        <f>IF('зведена (БАЛАНС) (2)'!E559&gt;'зведена (БАЛАНС) (2)'!F559,'зведена (БАЛАНС) (2)'!E559-'зведена (БАЛАНС) (2)'!F559,0)</f>
        <v>0</v>
      </c>
      <c r="F559" s="5">
        <f>IF('зведена (БАЛАНС) (2)'!F559&gt;'зведена (БАЛАНС) (2)'!E559,'зведена (БАЛАНС) (2)'!F559-'зведена (БАЛАНС) (2)'!E559,0)</f>
        <v>12996.5</v>
      </c>
    </row>
    <row r="560" spans="1:6" s="28" customFormat="1" x14ac:dyDescent="0.25">
      <c r="A560" s="33" t="s">
        <v>777</v>
      </c>
      <c r="B560" s="34" t="s">
        <v>984</v>
      </c>
      <c r="C560" s="30" t="s">
        <v>2747</v>
      </c>
      <c r="D560" s="32" t="s">
        <v>1162</v>
      </c>
      <c r="E560" s="5">
        <f>IF('зведена (БАЛАНС) (2)'!E560&gt;'зведена (БАЛАНС) (2)'!F560,'зведена (БАЛАНС) (2)'!E560-'зведена (БАЛАНС) (2)'!F560,0)</f>
        <v>0</v>
      </c>
      <c r="F560" s="5">
        <f>IF('зведена (БАЛАНС) (2)'!F560&gt;'зведена (БАЛАНС) (2)'!E560,'зведена (БАЛАНС) (2)'!F560-'зведена (БАЛАНС) (2)'!E560,0)</f>
        <v>11682.6</v>
      </c>
    </row>
    <row r="561" spans="1:6" s="28" customFormat="1" x14ac:dyDescent="0.25">
      <c r="A561" s="33" t="s">
        <v>777</v>
      </c>
      <c r="B561" s="34" t="s">
        <v>985</v>
      </c>
      <c r="C561" s="30" t="s">
        <v>1049</v>
      </c>
      <c r="D561" s="32" t="s">
        <v>2985</v>
      </c>
      <c r="E561" s="5">
        <f>IF('зведена (БАЛАНС) (2)'!E561&gt;'зведена (БАЛАНС) (2)'!F561,'зведена (БАЛАНС) (2)'!E561-'зведена (БАЛАНС) (2)'!F561,0)</f>
        <v>0</v>
      </c>
      <c r="F561" s="5">
        <f>IF('зведена (БАЛАНС) (2)'!F561&gt;'зведена (БАЛАНС) (2)'!E561,'зведена (БАЛАНС) (2)'!F561-'зведена (БАЛАНС) (2)'!E561,0)</f>
        <v>13433.5</v>
      </c>
    </row>
    <row r="562" spans="1:6" s="28" customFormat="1" x14ac:dyDescent="0.25">
      <c r="A562" s="33" t="s">
        <v>777</v>
      </c>
      <c r="B562" s="34" t="s">
        <v>984</v>
      </c>
      <c r="C562" s="30" t="s">
        <v>1721</v>
      </c>
      <c r="D562" s="32" t="s">
        <v>2986</v>
      </c>
      <c r="E562" s="5">
        <f>IF('зведена (БАЛАНС) (2)'!E562&gt;'зведена (БАЛАНС) (2)'!F562,'зведена (БАЛАНС) (2)'!E562-'зведена (БАЛАНС) (2)'!F562,0)</f>
        <v>0</v>
      </c>
      <c r="F562" s="5">
        <f>IF('зведена (БАЛАНС) (2)'!F562&gt;'зведена (БАЛАНС) (2)'!E562,'зведена (БАЛАНС) (2)'!F562-'зведена (БАЛАНС) (2)'!E562,0)</f>
        <v>29723.3</v>
      </c>
    </row>
    <row r="563" spans="1:6" s="28" customFormat="1" x14ac:dyDescent="0.25">
      <c r="A563" s="33" t="s">
        <v>777</v>
      </c>
      <c r="B563" s="34" t="s">
        <v>984</v>
      </c>
      <c r="C563" s="30" t="s">
        <v>1050</v>
      </c>
      <c r="D563" s="32" t="s">
        <v>2987</v>
      </c>
      <c r="E563" s="5">
        <f>IF('зведена (БАЛАНС) (2)'!E563&gt;'зведена (БАЛАНС) (2)'!F563,'зведена (БАЛАНС) (2)'!E563-'зведена (БАЛАНС) (2)'!F563,0)</f>
        <v>0</v>
      </c>
      <c r="F563" s="5">
        <f>IF('зведена (БАЛАНС) (2)'!F563&gt;'зведена (БАЛАНС) (2)'!E563,'зведена (БАЛАНС) (2)'!F563-'зведена (БАЛАНС) (2)'!E563,0)</f>
        <v>6796.3</v>
      </c>
    </row>
    <row r="564" spans="1:6" s="28" customFormat="1" x14ac:dyDescent="0.25">
      <c r="A564" s="33" t="s">
        <v>777</v>
      </c>
      <c r="B564" s="34" t="s">
        <v>985</v>
      </c>
      <c r="C564" s="30" t="s">
        <v>1723</v>
      </c>
      <c r="D564" s="80" t="s">
        <v>1724</v>
      </c>
      <c r="E564" s="5">
        <f>IF('зведена (БАЛАНС) (2)'!E564&gt;'зведена (БАЛАНС) (2)'!F564,'зведена (БАЛАНС) (2)'!E564-'зведена (БАЛАНС) (2)'!F564,0)</f>
        <v>0</v>
      </c>
      <c r="F564" s="5">
        <f>IF('зведена (БАЛАНС) (2)'!F564&gt;'зведена (БАЛАНС) (2)'!E564,'зведена (БАЛАНС) (2)'!F564-'зведена (БАЛАНС) (2)'!E564,0)</f>
        <v>15766.4</v>
      </c>
    </row>
    <row r="565" spans="1:6" s="28" customFormat="1" x14ac:dyDescent="0.25">
      <c r="A565" s="33" t="s">
        <v>777</v>
      </c>
      <c r="B565" s="34" t="s">
        <v>986</v>
      </c>
      <c r="C565" s="30" t="s">
        <v>1725</v>
      </c>
      <c r="D565" s="80" t="s">
        <v>1726</v>
      </c>
      <c r="E565" s="5">
        <f>IF('зведена (БАЛАНС) (2)'!E565&gt;'зведена (БАЛАНС) (2)'!F565,'зведена (БАЛАНС) (2)'!E565-'зведена (БАЛАНС) (2)'!F565,0)</f>
        <v>0</v>
      </c>
      <c r="F565" s="5">
        <f>IF('зведена (БАЛАНС) (2)'!F565&gt;'зведена (БАЛАНС) (2)'!E565,'зведена (БАЛАНС) (2)'!F565-'зведена (БАЛАНС) (2)'!E565,0)</f>
        <v>24627.5</v>
      </c>
    </row>
    <row r="566" spans="1:6" s="28" customFormat="1" x14ac:dyDescent="0.25">
      <c r="A566" s="33" t="s">
        <v>777</v>
      </c>
      <c r="B566" s="34" t="s">
        <v>986</v>
      </c>
      <c r="C566" s="30" t="s">
        <v>1727</v>
      </c>
      <c r="D566" s="80" t="s">
        <v>1728</v>
      </c>
      <c r="E566" s="5">
        <f>IF('зведена (БАЛАНС) (2)'!E566&gt;'зведена (БАЛАНС) (2)'!F566,'зведена (БАЛАНС) (2)'!E566-'зведена (БАЛАНС) (2)'!F566,0)</f>
        <v>0</v>
      </c>
      <c r="F566" s="5">
        <f>IF('зведена (БАЛАНС) (2)'!F566&gt;'зведена (БАЛАНС) (2)'!E566,'зведена (БАЛАНС) (2)'!F566-'зведена (БАЛАНС) (2)'!E566,0)</f>
        <v>0</v>
      </c>
    </row>
    <row r="567" spans="1:6" s="28" customFormat="1" x14ac:dyDescent="0.25">
      <c r="A567" s="33" t="s">
        <v>777</v>
      </c>
      <c r="B567" s="34" t="s">
        <v>985</v>
      </c>
      <c r="C567" s="30" t="s">
        <v>1729</v>
      </c>
      <c r="D567" s="80" t="s">
        <v>1730</v>
      </c>
      <c r="E567" s="5">
        <f>IF('зведена (БАЛАНС) (2)'!E567&gt;'зведена (БАЛАНС) (2)'!F567,'зведена (БАЛАНС) (2)'!E567-'зведена (БАЛАНС) (2)'!F567,0)</f>
        <v>0</v>
      </c>
      <c r="F567" s="5">
        <f>IF('зведена (БАЛАНС) (2)'!F567&gt;'зведена (БАЛАНС) (2)'!E567,'зведена (БАЛАНС) (2)'!F567-'зведена (БАЛАНС) (2)'!E567,0)</f>
        <v>24526.5</v>
      </c>
    </row>
    <row r="568" spans="1:6" s="28" customFormat="1" x14ac:dyDescent="0.25">
      <c r="A568" s="33" t="s">
        <v>777</v>
      </c>
      <c r="B568" s="34" t="s">
        <v>985</v>
      </c>
      <c r="C568" s="30" t="s">
        <v>1731</v>
      </c>
      <c r="D568" s="80" t="s">
        <v>2828</v>
      </c>
      <c r="E568" s="5">
        <f>IF('зведена (БАЛАНС) (2)'!E568&gt;'зведена (БАЛАНС) (2)'!F568,'зведена (БАЛАНС) (2)'!E568-'зведена (БАЛАНС) (2)'!F568,0)</f>
        <v>0</v>
      </c>
      <c r="F568" s="5">
        <f>IF('зведена (БАЛАНС) (2)'!F568&gt;'зведена (БАЛАНС) (2)'!E568,'зведена (БАЛАНС) (2)'!F568-'зведена (БАЛАНС) (2)'!E568,0)</f>
        <v>5997.4</v>
      </c>
    </row>
    <row r="569" spans="1:6" s="28" customFormat="1" x14ac:dyDescent="0.25">
      <c r="A569" s="33" t="s">
        <v>777</v>
      </c>
      <c r="B569" s="34" t="s">
        <v>983</v>
      </c>
      <c r="C569" s="30" t="s">
        <v>1732</v>
      </c>
      <c r="D569" s="80" t="s">
        <v>1733</v>
      </c>
      <c r="E569" s="5">
        <f>IF('зведена (БАЛАНС) (2)'!E569&gt;'зведена (БАЛАНС) (2)'!F569,'зведена (БАЛАНС) (2)'!E569-'зведена (БАЛАНС) (2)'!F569,0)</f>
        <v>0</v>
      </c>
      <c r="F569" s="5">
        <f>IF('зведена (БАЛАНС) (2)'!F569&gt;'зведена (БАЛАНС) (2)'!E569,'зведена (БАЛАНС) (2)'!F569-'зведена (БАЛАНС) (2)'!E569,0)</f>
        <v>15797</v>
      </c>
    </row>
    <row r="570" spans="1:6" s="28" customFormat="1" x14ac:dyDescent="0.25">
      <c r="A570" s="33" t="s">
        <v>777</v>
      </c>
      <c r="B570" s="34" t="s">
        <v>983</v>
      </c>
      <c r="C570" s="30" t="s">
        <v>1734</v>
      </c>
      <c r="D570" s="80" t="s">
        <v>1735</v>
      </c>
      <c r="E570" s="5">
        <f>IF('зведена (БАЛАНС) (2)'!E570&gt;'зведена (БАЛАНС) (2)'!F570,'зведена (БАЛАНС) (2)'!E570-'зведена (БАЛАНС) (2)'!F570,0)</f>
        <v>0</v>
      </c>
      <c r="F570" s="5">
        <f>IF('зведена (БАЛАНС) (2)'!F570&gt;'зведена (БАЛАНС) (2)'!E570,'зведена (БАЛАНС) (2)'!F570-'зведена (БАЛАНС) (2)'!E570,0)</f>
        <v>51705.5</v>
      </c>
    </row>
    <row r="571" spans="1:6" s="27" customFormat="1" x14ac:dyDescent="0.25">
      <c r="A571" s="33" t="s">
        <v>777</v>
      </c>
      <c r="B571" s="34" t="s">
        <v>984</v>
      </c>
      <c r="C571" s="30" t="s">
        <v>1736</v>
      </c>
      <c r="D571" s="80" t="s">
        <v>1737</v>
      </c>
      <c r="E571" s="5">
        <f>IF('зведена (БАЛАНС) (2)'!E571&gt;'зведена (БАЛАНС) (2)'!F571,'зведена (БАЛАНС) (2)'!E571-'зведена (БАЛАНС) (2)'!F571,0)</f>
        <v>0</v>
      </c>
      <c r="F571" s="5">
        <f>IF('зведена (БАЛАНС) (2)'!F571&gt;'зведена (БАЛАНС) (2)'!E571,'зведена (БАЛАНС) (2)'!F571-'зведена (БАЛАНС) (2)'!E571,0)</f>
        <v>3768.7</v>
      </c>
    </row>
    <row r="572" spans="1:6" x14ac:dyDescent="0.25">
      <c r="A572" s="33" t="s">
        <v>777</v>
      </c>
      <c r="B572" s="34" t="s">
        <v>984</v>
      </c>
      <c r="C572" s="30" t="s">
        <v>1738</v>
      </c>
      <c r="D572" s="80" t="s">
        <v>1739</v>
      </c>
      <c r="E572" s="5">
        <f>IF('зведена (БАЛАНС) (2)'!E572&gt;'зведена (БАЛАНС) (2)'!F572,'зведена (БАЛАНС) (2)'!E572-'зведена (БАЛАНС) (2)'!F572,0)</f>
        <v>0</v>
      </c>
      <c r="F572" s="5">
        <f>IF('зведена (БАЛАНС) (2)'!F572&gt;'зведена (БАЛАНС) (2)'!E572,'зведена (БАЛАНС) (2)'!F572-'зведена (БАЛАНС) (2)'!E572,0)</f>
        <v>3435.5</v>
      </c>
    </row>
    <row r="573" spans="1:6" x14ac:dyDescent="0.25">
      <c r="A573" s="33" t="s">
        <v>777</v>
      </c>
      <c r="B573" s="34" t="s">
        <v>983</v>
      </c>
      <c r="C573" s="30" t="s">
        <v>1740</v>
      </c>
      <c r="D573" s="80" t="s">
        <v>1741</v>
      </c>
      <c r="E573" s="5">
        <f>IF('зведена (БАЛАНС) (2)'!E573&gt;'зведена (БАЛАНС) (2)'!F573,'зведена (БАЛАНС) (2)'!E573-'зведена (БАЛАНС) (2)'!F573,0)</f>
        <v>0</v>
      </c>
      <c r="F573" s="5">
        <f>IF('зведена (БАЛАНС) (2)'!F573&gt;'зведена (БАЛАНС) (2)'!E573,'зведена (БАЛАНС) (2)'!F573-'зведена (БАЛАНС) (2)'!E573,0)</f>
        <v>34414</v>
      </c>
    </row>
    <row r="574" spans="1:6" x14ac:dyDescent="0.25">
      <c r="A574" s="33" t="s">
        <v>777</v>
      </c>
      <c r="B574" s="34" t="s">
        <v>985</v>
      </c>
      <c r="C574" s="30" t="s">
        <v>1742</v>
      </c>
      <c r="D574" s="80" t="s">
        <v>1743</v>
      </c>
      <c r="E574" s="5">
        <f>IF('зведена (БАЛАНС) (2)'!E574&gt;'зведена (БАЛАНС) (2)'!F574,'зведена (БАЛАНС) (2)'!E574-'зведена (БАЛАНС) (2)'!F574,0)</f>
        <v>0</v>
      </c>
      <c r="F574" s="5">
        <f>IF('зведена (БАЛАНС) (2)'!F574&gt;'зведена (БАЛАНС) (2)'!E574,'зведена (БАЛАНС) (2)'!F574-'зведена (БАЛАНС) (2)'!E574,0)</f>
        <v>31344.7</v>
      </c>
    </row>
    <row r="575" spans="1:6" x14ac:dyDescent="0.25">
      <c r="A575" s="33" t="s">
        <v>777</v>
      </c>
      <c r="B575" s="34" t="s">
        <v>985</v>
      </c>
      <c r="C575" s="30" t="s">
        <v>1744</v>
      </c>
      <c r="D575" s="80" t="s">
        <v>1745</v>
      </c>
      <c r="E575" s="5">
        <f>IF('зведена (БАЛАНС) (2)'!E575&gt;'зведена (БАЛАНС) (2)'!F575,'зведена (БАЛАНС) (2)'!E575-'зведена (БАЛАНС) (2)'!F575,0)</f>
        <v>0</v>
      </c>
      <c r="F575" s="5">
        <f>IF('зведена (БАЛАНС) (2)'!F575&gt;'зведена (БАЛАНС) (2)'!E575,'зведена (БАЛАНС) (2)'!F575-'зведена (БАЛАНС) (2)'!E575,0)</f>
        <v>7755.4</v>
      </c>
    </row>
    <row r="576" spans="1:6" x14ac:dyDescent="0.25">
      <c r="A576" s="33" t="s">
        <v>777</v>
      </c>
      <c r="B576" s="34" t="s">
        <v>983</v>
      </c>
      <c r="C576" s="30" t="s">
        <v>1746</v>
      </c>
      <c r="D576" s="80" t="s">
        <v>1747</v>
      </c>
      <c r="E576" s="5">
        <f>IF('зведена (БАЛАНС) (2)'!E576&gt;'зведена (БАЛАНС) (2)'!F576,'зведена (БАЛАНС) (2)'!E576-'зведена (БАЛАНС) (2)'!F576,0)</f>
        <v>0</v>
      </c>
      <c r="F576" s="5">
        <f>IF('зведена (БАЛАНС) (2)'!F576&gt;'зведена (БАЛАНС) (2)'!E576,'зведена (БАЛАНС) (2)'!F576-'зведена (БАЛАНС) (2)'!E576,0)</f>
        <v>0</v>
      </c>
    </row>
    <row r="577" spans="1:6" x14ac:dyDescent="0.25">
      <c r="A577" s="33" t="s">
        <v>777</v>
      </c>
      <c r="B577" s="34" t="s">
        <v>985</v>
      </c>
      <c r="C577" s="30" t="s">
        <v>1748</v>
      </c>
      <c r="D577" s="80" t="s">
        <v>1749</v>
      </c>
      <c r="E577" s="5">
        <f>IF('зведена (БАЛАНС) (2)'!E577&gt;'зведена (БАЛАНС) (2)'!F577,'зведена (БАЛАНС) (2)'!E577-'зведена (БАЛАНС) (2)'!F577,0)</f>
        <v>0</v>
      </c>
      <c r="F577" s="5">
        <f>IF('зведена (БАЛАНС) (2)'!F577&gt;'зведена (БАЛАНС) (2)'!E577,'зведена (БАЛАНС) (2)'!F577-'зведена (БАЛАНС) (2)'!E577,0)</f>
        <v>14716.5</v>
      </c>
    </row>
    <row r="578" spans="1:6" x14ac:dyDescent="0.25">
      <c r="A578" s="33" t="s">
        <v>777</v>
      </c>
      <c r="B578" s="34" t="s">
        <v>985</v>
      </c>
      <c r="C578" s="30" t="s">
        <v>1750</v>
      </c>
      <c r="D578" s="80" t="s">
        <v>1751</v>
      </c>
      <c r="E578" s="5">
        <f>IF('зведена (БАЛАНС) (2)'!E578&gt;'зведена (БАЛАНС) (2)'!F578,'зведена (БАЛАНС) (2)'!E578-'зведена (БАЛАНС) (2)'!F578,0)</f>
        <v>0</v>
      </c>
      <c r="F578" s="5">
        <f>IF('зведена (БАЛАНС) (2)'!F578&gt;'зведена (БАЛАНС) (2)'!E578,'зведена (БАЛАНС) (2)'!F578-'зведена (БАЛАНС) (2)'!E578,0)</f>
        <v>39034.9</v>
      </c>
    </row>
    <row r="579" spans="1:6" x14ac:dyDescent="0.25">
      <c r="A579" s="33" t="s">
        <v>777</v>
      </c>
      <c r="B579" s="34" t="s">
        <v>985</v>
      </c>
      <c r="C579" s="30" t="s">
        <v>1752</v>
      </c>
      <c r="D579" s="80" t="s">
        <v>1753</v>
      </c>
      <c r="E579" s="5">
        <f>IF('зведена (БАЛАНС) (2)'!E579&gt;'зведена (БАЛАНС) (2)'!F579,'зведена (БАЛАНС) (2)'!E579-'зведена (БАЛАНС) (2)'!F579,0)</f>
        <v>0</v>
      </c>
      <c r="F579" s="5">
        <f>IF('зведена (БАЛАНС) (2)'!F579&gt;'зведена (БАЛАНС) (2)'!E579,'зведена (БАЛАНС) (2)'!F579-'зведена (БАЛАНС) (2)'!E579,0)</f>
        <v>41775.1</v>
      </c>
    </row>
    <row r="580" spans="1:6" x14ac:dyDescent="0.25">
      <c r="A580" s="33" t="s">
        <v>777</v>
      </c>
      <c r="B580" s="34" t="s">
        <v>984</v>
      </c>
      <c r="C580" s="30" t="s">
        <v>1754</v>
      </c>
      <c r="D580" s="80" t="s">
        <v>1755</v>
      </c>
      <c r="E580" s="5">
        <f>IF('зведена (БАЛАНС) (2)'!E580&gt;'зведена (БАЛАНС) (2)'!F580,'зведена (БАЛАНС) (2)'!E580-'зведена (БАЛАНС) (2)'!F580,0)</f>
        <v>237.1</v>
      </c>
      <c r="F580" s="5">
        <f>IF('зведена (БАЛАНС) (2)'!F580&gt;'зведена (БАЛАНС) (2)'!E580,'зведена (БАЛАНС) (2)'!F580-'зведена (БАЛАНС) (2)'!E580,0)</f>
        <v>0</v>
      </c>
    </row>
    <row r="581" spans="1:6" x14ac:dyDescent="0.25">
      <c r="A581" s="33" t="s">
        <v>777</v>
      </c>
      <c r="B581" s="34" t="s">
        <v>983</v>
      </c>
      <c r="C581" s="30" t="s">
        <v>1756</v>
      </c>
      <c r="D581" s="80" t="s">
        <v>1757</v>
      </c>
      <c r="E581" s="5">
        <f>IF('зведена (БАЛАНС) (2)'!E581&gt;'зведена (БАЛАНС) (2)'!F581,'зведена (БАЛАНС) (2)'!E581-'зведена (БАЛАНС) (2)'!F581,0)</f>
        <v>0</v>
      </c>
      <c r="F581" s="5">
        <f>IF('зведена (БАЛАНС) (2)'!F581&gt;'зведена (БАЛАНС) (2)'!E581,'зведена (БАЛАНС) (2)'!F581-'зведена (БАЛАНС) (2)'!E581,0)</f>
        <v>22517.599999999999</v>
      </c>
    </row>
    <row r="582" spans="1:6" x14ac:dyDescent="0.25">
      <c r="A582" s="33" t="s">
        <v>777</v>
      </c>
      <c r="B582" s="34" t="s">
        <v>985</v>
      </c>
      <c r="C582" s="30" t="s">
        <v>1758</v>
      </c>
      <c r="D582" s="80" t="s">
        <v>1759</v>
      </c>
      <c r="E582" s="5">
        <f>IF('зведена (БАЛАНС) (2)'!E582&gt;'зведена (БАЛАНС) (2)'!F582,'зведена (БАЛАНС) (2)'!E582-'зведена (БАЛАНС) (2)'!F582,0)</f>
        <v>0</v>
      </c>
      <c r="F582" s="5">
        <f>IF('зведена (БАЛАНС) (2)'!F582&gt;'зведена (БАЛАНС) (2)'!E582,'зведена (БАЛАНС) (2)'!F582-'зведена (БАЛАНС) (2)'!E582,0)</f>
        <v>22169</v>
      </c>
    </row>
    <row r="583" spans="1:6" x14ac:dyDescent="0.25">
      <c r="A583" s="33" t="s">
        <v>777</v>
      </c>
      <c r="B583" s="34" t="s">
        <v>983</v>
      </c>
      <c r="C583" s="30" t="s">
        <v>1760</v>
      </c>
      <c r="D583" s="80" t="s">
        <v>1761</v>
      </c>
      <c r="E583" s="5">
        <f>IF('зведена (БАЛАНС) (2)'!E583&gt;'зведена (БАЛАНС) (2)'!F583,'зведена (БАЛАНС) (2)'!E583-'зведена (БАЛАНС) (2)'!F583,0)</f>
        <v>0</v>
      </c>
      <c r="F583" s="5">
        <f>IF('зведена (БАЛАНС) (2)'!F583&gt;'зведена (БАЛАНС) (2)'!E583,'зведена (БАЛАНС) (2)'!F583-'зведена (БАЛАНС) (2)'!E583,0)</f>
        <v>47032.4</v>
      </c>
    </row>
    <row r="584" spans="1:6" x14ac:dyDescent="0.25">
      <c r="A584" s="33" t="s">
        <v>777</v>
      </c>
      <c r="B584" s="34" t="s">
        <v>985</v>
      </c>
      <c r="C584" s="30" t="s">
        <v>1762</v>
      </c>
      <c r="D584" s="80" t="s">
        <v>1577</v>
      </c>
      <c r="E584" s="5">
        <f>IF('зведена (БАЛАНС) (2)'!E584&gt;'зведена (БАЛАНС) (2)'!F584,'зведена (БАЛАНС) (2)'!E584-'зведена (БАЛАНС) (2)'!F584,0)</f>
        <v>0</v>
      </c>
      <c r="F584" s="5">
        <f>IF('зведена (БАЛАНС) (2)'!F584&gt;'зведена (БАЛАНС) (2)'!E584,'зведена (БАЛАНС) (2)'!F584-'зведена (БАЛАНС) (2)'!E584,0)</f>
        <v>48751.8</v>
      </c>
    </row>
    <row r="585" spans="1:6" x14ac:dyDescent="0.25">
      <c r="A585" s="33" t="s">
        <v>777</v>
      </c>
      <c r="B585" s="34" t="s">
        <v>983</v>
      </c>
      <c r="C585" s="30" t="s">
        <v>1763</v>
      </c>
      <c r="D585" s="80" t="s">
        <v>1764</v>
      </c>
      <c r="E585" s="5">
        <f>IF('зведена (БАЛАНС) (2)'!E585&gt;'зведена (БАЛАНС) (2)'!F585,'зведена (БАЛАНС) (2)'!E585-'зведена (БАЛАНС) (2)'!F585,0)</f>
        <v>0</v>
      </c>
      <c r="F585" s="5">
        <f>IF('зведена (БАЛАНС) (2)'!F585&gt;'зведена (БАЛАНС) (2)'!E585,'зведена (БАЛАНС) (2)'!F585-'зведена (БАЛАНС) (2)'!E585,0)</f>
        <v>38162.699999999997</v>
      </c>
    </row>
    <row r="586" spans="1:6" x14ac:dyDescent="0.25">
      <c r="A586" s="33" t="s">
        <v>777</v>
      </c>
      <c r="B586" s="34" t="s">
        <v>985</v>
      </c>
      <c r="C586" s="30" t="s">
        <v>1765</v>
      </c>
      <c r="D586" s="80" t="s">
        <v>1766</v>
      </c>
      <c r="E586" s="5">
        <f>IF('зведена (БАЛАНС) (2)'!E586&gt;'зведена (БАЛАНС) (2)'!F586,'зведена (БАЛАНС) (2)'!E586-'зведена (БАЛАНС) (2)'!F586,0)</f>
        <v>0</v>
      </c>
      <c r="F586" s="5">
        <f>IF('зведена (БАЛАНС) (2)'!F586&gt;'зведена (БАЛАНС) (2)'!E586,'зведена (БАЛАНС) (2)'!F586-'зведена (БАЛАНС) (2)'!E586,0)</f>
        <v>9843.9</v>
      </c>
    </row>
    <row r="587" spans="1:6" x14ac:dyDescent="0.25">
      <c r="A587" s="33" t="s">
        <v>777</v>
      </c>
      <c r="B587" s="34" t="s">
        <v>986</v>
      </c>
      <c r="C587" s="30" t="s">
        <v>1767</v>
      </c>
      <c r="D587" s="80" t="s">
        <v>1768</v>
      </c>
      <c r="E587" s="5">
        <f>IF('зведена (БАЛАНС) (2)'!E587&gt;'зведена (БАЛАНС) (2)'!F587,'зведена (БАЛАНС) (2)'!E587-'зведена (БАЛАНС) (2)'!F587,0)</f>
        <v>0</v>
      </c>
      <c r="F587" s="5">
        <f>IF('зведена (БАЛАНС) (2)'!F587&gt;'зведена (БАЛАНС) (2)'!E587,'зведена (БАЛАНС) (2)'!F587-'зведена (БАЛАНС) (2)'!E587,0)</f>
        <v>4360</v>
      </c>
    </row>
    <row r="588" spans="1:6" x14ac:dyDescent="0.25">
      <c r="A588" s="36">
        <v>10</v>
      </c>
      <c r="B588" s="17" t="s">
        <v>7</v>
      </c>
      <c r="C588" s="17" t="s">
        <v>781</v>
      </c>
      <c r="D588" s="11" t="s">
        <v>14</v>
      </c>
      <c r="E588" s="11">
        <f>E589+E590+E598</f>
        <v>1371633.6</v>
      </c>
      <c r="F588" s="11">
        <f>F589+F590+F598</f>
        <v>202250.9</v>
      </c>
    </row>
    <row r="589" spans="1:6" x14ac:dyDescent="0.25">
      <c r="A589" s="39">
        <v>10</v>
      </c>
      <c r="B589" s="34" t="s">
        <v>6</v>
      </c>
      <c r="C589" s="18" t="s">
        <v>104</v>
      </c>
      <c r="D589" s="32" t="s">
        <v>847</v>
      </c>
      <c r="E589" s="5">
        <f>IF('зведена (БАЛАНС) (2)'!E589&gt;'зведена (БАЛАНС) (2)'!F589,'зведена (БАЛАНС) (2)'!E589-'зведена (БАЛАНС) (2)'!F589,0)</f>
        <v>249510.9</v>
      </c>
      <c r="F589" s="5">
        <f>IF('зведена (БАЛАНС) (2)'!F589&gt;'зведена (БАЛАНС) (2)'!E589,'зведена (БАЛАНС) (2)'!F589-'зведена (БАЛАНС) (2)'!E589,0)</f>
        <v>0</v>
      </c>
    </row>
    <row r="590" spans="1:6" s="29" customFormat="1" x14ac:dyDescent="0.25">
      <c r="A590" s="37">
        <v>10</v>
      </c>
      <c r="B590" s="19" t="s">
        <v>5</v>
      </c>
      <c r="C590" s="19" t="s">
        <v>782</v>
      </c>
      <c r="D590" s="7" t="s">
        <v>2802</v>
      </c>
      <c r="E590" s="7">
        <f>SUM(E591:E597)</f>
        <v>0</v>
      </c>
      <c r="F590" s="7">
        <f>SUM(F591:F597)</f>
        <v>0</v>
      </c>
    </row>
    <row r="591" spans="1:6" s="29" customFormat="1" x14ac:dyDescent="0.25">
      <c r="A591" s="38">
        <v>10</v>
      </c>
      <c r="B591" s="34" t="s">
        <v>4</v>
      </c>
      <c r="C591" s="18" t="s">
        <v>105</v>
      </c>
      <c r="D591" s="32" t="s">
        <v>915</v>
      </c>
      <c r="E591" s="5">
        <f>IF('зведена (БАЛАНС) (2)'!E591&gt;'зведена (БАЛАНС) (2)'!F591,'зведена (БАЛАНС) (2)'!E591-'зведена (БАЛАНС) (2)'!F591,0)</f>
        <v>0</v>
      </c>
      <c r="F591" s="5">
        <f>IF('зведена (БАЛАНС) (2)'!F591&gt;'зведена (БАЛАНС) (2)'!E591,'зведена (БАЛАНС) (2)'!F591-'зведена (БАЛАНС) (2)'!E591,0)</f>
        <v>0</v>
      </c>
    </row>
    <row r="592" spans="1:6" s="29" customFormat="1" x14ac:dyDescent="0.25">
      <c r="A592" s="38">
        <v>10</v>
      </c>
      <c r="B592" s="34" t="s">
        <v>4</v>
      </c>
      <c r="C592" s="18" t="s">
        <v>106</v>
      </c>
      <c r="D592" s="32" t="s">
        <v>916</v>
      </c>
      <c r="E592" s="5">
        <f>IF('зведена (БАЛАНС) (2)'!E592&gt;'зведена (БАЛАНС) (2)'!F592,'зведена (БАЛАНС) (2)'!E592-'зведена (БАЛАНС) (2)'!F592,0)</f>
        <v>0</v>
      </c>
      <c r="F592" s="5">
        <f>IF('зведена (БАЛАНС) (2)'!F592&gt;'зведена (БАЛАНС) (2)'!E592,'зведена (БАЛАНС) (2)'!F592-'зведена (БАЛАНС) (2)'!E592,0)</f>
        <v>0</v>
      </c>
    </row>
    <row r="593" spans="1:6" s="29" customFormat="1" x14ac:dyDescent="0.25">
      <c r="A593" s="38">
        <v>10</v>
      </c>
      <c r="B593" s="34" t="s">
        <v>4</v>
      </c>
      <c r="C593" s="18" t="s">
        <v>2749</v>
      </c>
      <c r="D593" s="32" t="s">
        <v>2750</v>
      </c>
      <c r="E593" s="5">
        <f>IF('зведена (БАЛАНС) (2)'!E593&gt;'зведена (БАЛАНС) (2)'!F593,'зведена (БАЛАНС) (2)'!E593-'зведена (БАЛАНС) (2)'!F593,0)</f>
        <v>0</v>
      </c>
      <c r="F593" s="5">
        <f>IF('зведена (БАЛАНС) (2)'!F593&gt;'зведена (БАЛАНС) (2)'!E593,'зведена (БАЛАНС) (2)'!F593-'зведена (БАЛАНС) (2)'!E593,0)</f>
        <v>0</v>
      </c>
    </row>
    <row r="594" spans="1:6" x14ac:dyDescent="0.25">
      <c r="A594" s="38">
        <v>10</v>
      </c>
      <c r="B594" s="34" t="s">
        <v>4</v>
      </c>
      <c r="C594" s="18" t="s">
        <v>2751</v>
      </c>
      <c r="D594" s="32" t="s">
        <v>2752</v>
      </c>
      <c r="E594" s="5">
        <f>IF('зведена (БАЛАНС) (2)'!E594&gt;'зведена (БАЛАНС) (2)'!F594,'зведена (БАЛАНС) (2)'!E594-'зведена (БАЛАНС) (2)'!F594,0)</f>
        <v>0</v>
      </c>
      <c r="F594" s="5">
        <f>IF('зведена (БАЛАНС) (2)'!F594&gt;'зведена (БАЛАНС) (2)'!E594,'зведена (БАЛАНС) (2)'!F594-'зведена (БАЛАНС) (2)'!E594,0)</f>
        <v>0</v>
      </c>
    </row>
    <row r="595" spans="1:6" x14ac:dyDescent="0.25">
      <c r="A595" s="38">
        <v>10</v>
      </c>
      <c r="B595" s="34" t="s">
        <v>4</v>
      </c>
      <c r="C595" s="18" t="s">
        <v>107</v>
      </c>
      <c r="D595" s="32" t="s">
        <v>917</v>
      </c>
      <c r="E595" s="5">
        <f>IF('зведена (БАЛАНС) (2)'!E595&gt;'зведена (БАЛАНС) (2)'!F595,'зведена (БАЛАНС) (2)'!E595-'зведена (БАЛАНС) (2)'!F595,0)</f>
        <v>0</v>
      </c>
      <c r="F595" s="5">
        <f>IF('зведена (БАЛАНС) (2)'!F595&gt;'зведена (БАЛАНС) (2)'!E595,'зведена (БАЛАНС) (2)'!F595-'зведена (БАЛАНС) (2)'!E595,0)</f>
        <v>0</v>
      </c>
    </row>
    <row r="596" spans="1:6" x14ac:dyDescent="0.25">
      <c r="A596" s="38">
        <v>10</v>
      </c>
      <c r="B596" s="34" t="s">
        <v>4</v>
      </c>
      <c r="C596" s="18" t="s">
        <v>108</v>
      </c>
      <c r="D596" s="32" t="s">
        <v>918</v>
      </c>
      <c r="E596" s="5">
        <f>IF('зведена (БАЛАНС) (2)'!E596&gt;'зведена (БАЛАНС) (2)'!F596,'зведена (БАЛАНС) (2)'!E596-'зведена (БАЛАНС) (2)'!F596,0)</f>
        <v>0</v>
      </c>
      <c r="F596" s="5">
        <f>IF('зведена (БАЛАНС) (2)'!F596&gt;'зведена (БАЛАНС) (2)'!E596,'зведена (БАЛАНС) (2)'!F596-'зведена (БАЛАНС) (2)'!E596,0)</f>
        <v>0</v>
      </c>
    </row>
    <row r="597" spans="1:6" x14ac:dyDescent="0.25">
      <c r="A597" s="38">
        <v>10</v>
      </c>
      <c r="B597" s="34" t="s">
        <v>4</v>
      </c>
      <c r="C597" s="18">
        <v>10325200000</v>
      </c>
      <c r="D597" s="32" t="s">
        <v>1769</v>
      </c>
      <c r="E597" s="5">
        <f>IF('зведена (БАЛАНС) (2)'!E597&gt;'зведена (БАЛАНС) (2)'!F597,'зведена (БАЛАНС) (2)'!E597-'зведена (БАЛАНС) (2)'!F597,0)</f>
        <v>0</v>
      </c>
      <c r="F597" s="5">
        <f>IF('зведена (БАЛАНС) (2)'!F597&gt;'зведена (БАЛАНС) (2)'!E597,'зведена (БАЛАНС) (2)'!F597-'зведена (БАЛАНС) (2)'!E597,0)</f>
        <v>0</v>
      </c>
    </row>
    <row r="598" spans="1:6" x14ac:dyDescent="0.25">
      <c r="A598" s="37">
        <v>10</v>
      </c>
      <c r="B598" s="19" t="s">
        <v>28</v>
      </c>
      <c r="C598" s="19" t="s">
        <v>783</v>
      </c>
      <c r="D598" s="20" t="s">
        <v>2776</v>
      </c>
      <c r="E598" s="7">
        <f>SUM(E599:E667)</f>
        <v>1122122.7000000002</v>
      </c>
      <c r="F598" s="7">
        <f>SUM(F599:F667)</f>
        <v>202250.9</v>
      </c>
    </row>
    <row r="599" spans="1:6" x14ac:dyDescent="0.25">
      <c r="A599" s="38">
        <v>10</v>
      </c>
      <c r="B599" s="34" t="s">
        <v>985</v>
      </c>
      <c r="C599" s="18" t="s">
        <v>109</v>
      </c>
      <c r="D599" s="32" t="s">
        <v>1770</v>
      </c>
      <c r="E599" s="5">
        <f>IF('зведена (БАЛАНС) (2)'!E599&gt;'зведена (БАЛАНС) (2)'!F599,'зведена (БАЛАНС) (2)'!E599-'зведена (БАЛАНС) (2)'!F599,0)</f>
        <v>0</v>
      </c>
      <c r="F599" s="5">
        <f>IF('зведена (БАЛАНС) (2)'!F599&gt;'зведена (БАЛАНС) (2)'!E599,'зведена (БАЛАНС) (2)'!F599-'зведена (БАЛАНС) (2)'!E599,0)</f>
        <v>6120.1</v>
      </c>
    </row>
    <row r="600" spans="1:6" x14ac:dyDescent="0.25">
      <c r="A600" s="38">
        <v>10</v>
      </c>
      <c r="B600" s="34" t="s">
        <v>985</v>
      </c>
      <c r="C600" s="18" t="s">
        <v>284</v>
      </c>
      <c r="D600" s="32" t="s">
        <v>1771</v>
      </c>
      <c r="E600" s="5">
        <f>IF('зведена (БАЛАНС) (2)'!E600&gt;'зведена (БАЛАНС) (2)'!F600,'зведена (БАЛАНС) (2)'!E600-'зведена (БАЛАНС) (2)'!F600,0)</f>
        <v>0</v>
      </c>
      <c r="F600" s="5">
        <f>IF('зведена (БАЛАНС) (2)'!F600&gt;'зведена (БАЛАНС) (2)'!E600,'зведена (БАЛАНС) (2)'!F600-'зведена (БАЛАНС) (2)'!E600,0)</f>
        <v>0</v>
      </c>
    </row>
    <row r="601" spans="1:6" x14ac:dyDescent="0.25">
      <c r="A601" s="38">
        <v>10</v>
      </c>
      <c r="B601" s="34" t="s">
        <v>984</v>
      </c>
      <c r="C601" s="18" t="s">
        <v>568</v>
      </c>
      <c r="D601" s="32" t="s">
        <v>1772</v>
      </c>
      <c r="E601" s="5">
        <f>IF('зведена (БАЛАНС) (2)'!E601&gt;'зведена (БАЛАНС) (2)'!F601,'зведена (БАЛАНС) (2)'!E601-'зведена (БАЛАНС) (2)'!F601,0)</f>
        <v>0</v>
      </c>
      <c r="F601" s="5">
        <f>IF('зведена (БАЛАНС) (2)'!F601&gt;'зведена (БАЛАНС) (2)'!E601,'зведена (БАЛАНС) (2)'!F601-'зведена (БАЛАНС) (2)'!E601,0)</f>
        <v>2158.3000000000002</v>
      </c>
    </row>
    <row r="602" spans="1:6" x14ac:dyDescent="0.25">
      <c r="A602" s="38">
        <v>10</v>
      </c>
      <c r="B602" s="34" t="s">
        <v>985</v>
      </c>
      <c r="C602" s="18" t="s">
        <v>569</v>
      </c>
      <c r="D602" s="32" t="s">
        <v>1773</v>
      </c>
      <c r="E602" s="5">
        <f>IF('зведена (БАЛАНС) (2)'!E602&gt;'зведена (БАЛАНС) (2)'!F602,'зведена (БАЛАНС) (2)'!E602-'зведена (БАЛАНС) (2)'!F602,0)</f>
        <v>0</v>
      </c>
      <c r="F602" s="5">
        <f>IF('зведена (БАЛАНС) (2)'!F602&gt;'зведена (БАЛАНС) (2)'!E602,'зведена (БАЛАНС) (2)'!F602-'зведена (БАЛАНС) (2)'!E602,0)</f>
        <v>0</v>
      </c>
    </row>
    <row r="603" spans="1:6" x14ac:dyDescent="0.25">
      <c r="A603" s="38">
        <v>10</v>
      </c>
      <c r="B603" s="34" t="s">
        <v>984</v>
      </c>
      <c r="C603" s="18" t="s">
        <v>570</v>
      </c>
      <c r="D603" s="32" t="s">
        <v>1774</v>
      </c>
      <c r="E603" s="5">
        <f>IF('зведена (БАЛАНС) (2)'!E603&gt;'зведена (БАЛАНС) (2)'!F603,'зведена (БАЛАНС) (2)'!E603-'зведена (БАЛАНС) (2)'!F603,0)</f>
        <v>3699.9</v>
      </c>
      <c r="F603" s="5">
        <f>IF('зведена (БАЛАНС) (2)'!F603&gt;'зведена (БАЛАНС) (2)'!E603,'зведена (БАЛАНС) (2)'!F603-'зведена (БАЛАНС) (2)'!E603,0)</f>
        <v>0</v>
      </c>
    </row>
    <row r="604" spans="1:6" x14ac:dyDescent="0.25">
      <c r="A604" s="38">
        <v>10</v>
      </c>
      <c r="B604" s="34" t="s">
        <v>984</v>
      </c>
      <c r="C604" s="18" t="s">
        <v>571</v>
      </c>
      <c r="D604" s="32" t="s">
        <v>1775</v>
      </c>
      <c r="E604" s="5">
        <f>IF('зведена (БАЛАНС) (2)'!E604&gt;'зведена (БАЛАНС) (2)'!F604,'зведена (БАЛАНС) (2)'!E604-'зведена (БАЛАНС) (2)'!F604,0)</f>
        <v>0</v>
      </c>
      <c r="F604" s="5">
        <f>IF('зведена (БАЛАНС) (2)'!F604&gt;'зведена (БАЛАНС) (2)'!E604,'зведена (БАЛАНС) (2)'!F604-'зведена (БАЛАНС) (2)'!E604,0)</f>
        <v>4619.7</v>
      </c>
    </row>
    <row r="605" spans="1:6" x14ac:dyDescent="0.25">
      <c r="A605" s="38">
        <v>10</v>
      </c>
      <c r="B605" s="34" t="s">
        <v>983</v>
      </c>
      <c r="C605" s="18" t="s">
        <v>694</v>
      </c>
      <c r="D605" s="32" t="s">
        <v>1776</v>
      </c>
      <c r="E605" s="5">
        <f>IF('зведена (БАЛАНС) (2)'!E605&gt;'зведена (БАЛАНС) (2)'!F605,'зведена (БАЛАНС) (2)'!E605-'зведена (БАЛАНС) (2)'!F605,0)</f>
        <v>0</v>
      </c>
      <c r="F605" s="5">
        <f>IF('зведена (БАЛАНС) (2)'!F605&gt;'зведена (БАЛАНС) (2)'!E605,'зведена (БАЛАНС) (2)'!F605-'зведена (БАЛАНС) (2)'!E605,0)</f>
        <v>18144.2</v>
      </c>
    </row>
    <row r="606" spans="1:6" x14ac:dyDescent="0.25">
      <c r="A606" s="38">
        <v>10</v>
      </c>
      <c r="B606" s="34" t="s">
        <v>983</v>
      </c>
      <c r="C606" s="18" t="s">
        <v>695</v>
      </c>
      <c r="D606" s="32" t="s">
        <v>1777</v>
      </c>
      <c r="E606" s="5">
        <f>IF('зведена (БАЛАНС) (2)'!E606&gt;'зведена (БАЛАНС) (2)'!F606,'зведена (БАЛАНС) (2)'!E606-'зведена (БАЛАНС) (2)'!F606,0)</f>
        <v>0</v>
      </c>
      <c r="F606" s="5">
        <f>IF('зведена (БАЛАНС) (2)'!F606&gt;'зведена (БАЛАНС) (2)'!E606,'зведена (БАЛАНС) (2)'!F606-'зведена (БАЛАНС) (2)'!E606,0)</f>
        <v>9042.4</v>
      </c>
    </row>
    <row r="607" spans="1:6" x14ac:dyDescent="0.25">
      <c r="A607" s="38">
        <v>10</v>
      </c>
      <c r="B607" s="34" t="s">
        <v>984</v>
      </c>
      <c r="C607" s="18" t="s">
        <v>696</v>
      </c>
      <c r="D607" s="32" t="s">
        <v>1778</v>
      </c>
      <c r="E607" s="5">
        <f>IF('зведена (БАЛАНС) (2)'!E607&gt;'зведена (БАЛАНС) (2)'!F607,'зведена (БАЛАНС) (2)'!E607-'зведена (БАЛАНС) (2)'!F607,0)</f>
        <v>15495.6</v>
      </c>
      <c r="F607" s="5">
        <f>IF('зведена (БАЛАНС) (2)'!F607&gt;'зведена (БАЛАНС) (2)'!E607,'зведена (БАЛАНС) (2)'!F607-'зведена (БАЛАНС) (2)'!E607,0)</f>
        <v>0</v>
      </c>
    </row>
    <row r="608" spans="1:6" x14ac:dyDescent="0.25">
      <c r="A608" s="38">
        <v>10</v>
      </c>
      <c r="B608" s="34" t="s">
        <v>985</v>
      </c>
      <c r="C608" s="18">
        <v>10510000000</v>
      </c>
      <c r="D608" s="32" t="s">
        <v>1779</v>
      </c>
      <c r="E608" s="5">
        <f>IF('зведена (БАЛАНС) (2)'!E608&gt;'зведена (БАЛАНС) (2)'!F608,'зведена (БАЛАНС) (2)'!E608-'зведена (БАЛАНС) (2)'!F608,0)</f>
        <v>0</v>
      </c>
      <c r="F608" s="5">
        <f>IF('зведена (БАЛАНС) (2)'!F608&gt;'зведена (БАЛАНС) (2)'!E608,'зведена (БАЛАНС) (2)'!F608-'зведена (БАЛАНС) (2)'!E608,0)</f>
        <v>0</v>
      </c>
    </row>
    <row r="609" spans="1:6" x14ac:dyDescent="0.25">
      <c r="A609" s="38">
        <v>10</v>
      </c>
      <c r="B609" s="34" t="s">
        <v>985</v>
      </c>
      <c r="C609" s="18">
        <v>10511000000</v>
      </c>
      <c r="D609" s="32" t="s">
        <v>1780</v>
      </c>
      <c r="E609" s="5">
        <f>IF('зведена (БАЛАНС) (2)'!E609&gt;'зведена (БАЛАНС) (2)'!F609,'зведена (БАЛАНС) (2)'!E609-'зведена (БАЛАНС) (2)'!F609,0)</f>
        <v>0</v>
      </c>
      <c r="F609" s="5">
        <f>IF('зведена (БАЛАНС) (2)'!F609&gt;'зведена (БАЛАНС) (2)'!E609,'зведена (БАЛАНС) (2)'!F609-'зведена (БАЛАНС) (2)'!E609,0)</f>
        <v>14932.5</v>
      </c>
    </row>
    <row r="610" spans="1:6" x14ac:dyDescent="0.25">
      <c r="A610" s="38">
        <v>10</v>
      </c>
      <c r="B610" s="34" t="s">
        <v>984</v>
      </c>
      <c r="C610" s="18">
        <v>10512000000</v>
      </c>
      <c r="D610" s="32" t="s">
        <v>1781</v>
      </c>
      <c r="E610" s="5">
        <f>IF('зведена (БАЛАНС) (2)'!E610&gt;'зведена (БАЛАНС) (2)'!F610,'зведена (БАЛАНС) (2)'!E610-'зведена (БАЛАНС) (2)'!F610,0)</f>
        <v>8338.7000000000007</v>
      </c>
      <c r="F610" s="5">
        <f>IF('зведена (БАЛАНС) (2)'!F610&gt;'зведена (БАЛАНС) (2)'!E610,'зведена (БАЛАНС) (2)'!F610-'зведена (БАЛАНС) (2)'!E610,0)</f>
        <v>0</v>
      </c>
    </row>
    <row r="611" spans="1:6" s="28" customFormat="1" x14ac:dyDescent="0.25">
      <c r="A611" s="38">
        <v>10</v>
      </c>
      <c r="B611" s="34" t="s">
        <v>983</v>
      </c>
      <c r="C611" s="18">
        <v>10513000000</v>
      </c>
      <c r="D611" s="32" t="s">
        <v>2988</v>
      </c>
      <c r="E611" s="5">
        <f>IF('зведена (БАЛАНС) (2)'!E611&gt;'зведена (БАЛАНС) (2)'!F611,'зведена (БАЛАНС) (2)'!E611-'зведена (БАЛАНС) (2)'!F611,0)</f>
        <v>51116.2</v>
      </c>
      <c r="F611" s="5">
        <f>IF('зведена (БАЛАНС) (2)'!F611&gt;'зведена (БАЛАНС) (2)'!E611,'зведена (БАЛАНС) (2)'!F611-'зведена (БАЛАНС) (2)'!E611,0)</f>
        <v>0</v>
      </c>
    </row>
    <row r="612" spans="1:6" s="28" customFormat="1" x14ac:dyDescent="0.25">
      <c r="A612" s="38">
        <v>10</v>
      </c>
      <c r="B612" s="34" t="s">
        <v>986</v>
      </c>
      <c r="C612" s="18">
        <v>10514000000</v>
      </c>
      <c r="D612" s="32" t="s">
        <v>2989</v>
      </c>
      <c r="E612" s="5">
        <f>IF('зведена (БАЛАНС) (2)'!E612&gt;'зведена (БАЛАНС) (2)'!F612,'зведена (БАЛАНС) (2)'!E612-'зведена (БАЛАНС) (2)'!F612,0)</f>
        <v>0</v>
      </c>
      <c r="F612" s="5">
        <f>IF('зведена (БАЛАНС) (2)'!F612&gt;'зведена (БАЛАНС) (2)'!E612,'зведена (БАЛАНС) (2)'!F612-'зведена (БАЛАНС) (2)'!E612,0)</f>
        <v>0</v>
      </c>
    </row>
    <row r="613" spans="1:6" s="28" customFormat="1" x14ac:dyDescent="0.25">
      <c r="A613" s="38">
        <v>10</v>
      </c>
      <c r="B613" s="34" t="s">
        <v>986</v>
      </c>
      <c r="C613" s="18">
        <v>10515000000</v>
      </c>
      <c r="D613" s="32" t="s">
        <v>2990</v>
      </c>
      <c r="E613" s="5">
        <f>IF('зведена (БАЛАНС) (2)'!E613&gt;'зведена (БАЛАНС) (2)'!F613,'зведена (БАЛАНС) (2)'!E613-'зведена (БАЛАНС) (2)'!F613,0)</f>
        <v>0</v>
      </c>
      <c r="F613" s="5">
        <f>IF('зведена (БАЛАНС) (2)'!F613&gt;'зведена (БАЛАНС) (2)'!E613,'зведена (БАЛАНС) (2)'!F613-'зведена (БАЛАНС) (2)'!E613,0)</f>
        <v>18409.900000000001</v>
      </c>
    </row>
    <row r="614" spans="1:6" s="28" customFormat="1" x14ac:dyDescent="0.25">
      <c r="A614" s="38">
        <v>10</v>
      </c>
      <c r="B614" s="34" t="s">
        <v>986</v>
      </c>
      <c r="C614" s="18">
        <v>10516000000</v>
      </c>
      <c r="D614" s="32" t="s">
        <v>2991</v>
      </c>
      <c r="E614" s="5">
        <f>IF('зведена (БАЛАНС) (2)'!E614&gt;'зведена (БАЛАНС) (2)'!F614,'зведена (БАЛАНС) (2)'!E614-'зведена (БАЛАНС) (2)'!F614,0)</f>
        <v>0</v>
      </c>
      <c r="F614" s="5">
        <f>IF('зведена (БАЛАНС) (2)'!F614&gt;'зведена (БАЛАНС) (2)'!E614,'зведена (БАЛАНС) (2)'!F614-'зведена (БАЛАНС) (2)'!E614,0)</f>
        <v>6472.7</v>
      </c>
    </row>
    <row r="615" spans="1:6" s="28" customFormat="1" x14ac:dyDescent="0.25">
      <c r="A615" s="38">
        <v>10</v>
      </c>
      <c r="B615" s="34" t="s">
        <v>986</v>
      </c>
      <c r="C615" s="18">
        <v>10517000000</v>
      </c>
      <c r="D615" s="32" t="s">
        <v>2992</v>
      </c>
      <c r="E615" s="5">
        <f>IF('зведена (БАЛАНС) (2)'!E615&gt;'зведена (БАЛАНС) (2)'!F615,'зведена (БАЛАНС) (2)'!E615-'зведена (БАЛАНС) (2)'!F615,0)</f>
        <v>62141.7</v>
      </c>
      <c r="F615" s="5">
        <f>IF('зведена (БАЛАНС) (2)'!F615&gt;'зведена (БАЛАНС) (2)'!E615,'зведена (БАЛАНС) (2)'!F615-'зведена (БАЛАНС) (2)'!E615,0)</f>
        <v>0</v>
      </c>
    </row>
    <row r="616" spans="1:6" s="28" customFormat="1" x14ac:dyDescent="0.25">
      <c r="A616" s="38">
        <v>10</v>
      </c>
      <c r="B616" s="34" t="s">
        <v>983</v>
      </c>
      <c r="C616" s="18">
        <v>10518000000</v>
      </c>
      <c r="D616" s="32" t="s">
        <v>2993</v>
      </c>
      <c r="E616" s="5">
        <f>IF('зведена (БАЛАНС) (2)'!E616&gt;'зведена (БАЛАНС) (2)'!F616,'зведена (БАЛАНС) (2)'!E616-'зведена (БАЛАНС) (2)'!F616,0)</f>
        <v>0</v>
      </c>
      <c r="F616" s="5">
        <f>IF('зведена (БАЛАНС) (2)'!F616&gt;'зведена (БАЛАНС) (2)'!E616,'зведена (БАЛАНС) (2)'!F616-'зведена (БАЛАНС) (2)'!E616,0)</f>
        <v>10762.2</v>
      </c>
    </row>
    <row r="617" spans="1:6" s="28" customFormat="1" x14ac:dyDescent="0.25">
      <c r="A617" s="38">
        <v>10</v>
      </c>
      <c r="B617" s="34" t="s">
        <v>985</v>
      </c>
      <c r="C617" s="18">
        <v>10519000000</v>
      </c>
      <c r="D617" s="32" t="s">
        <v>2994</v>
      </c>
      <c r="E617" s="5">
        <f>IF('зведена (БАЛАНС) (2)'!E617&gt;'зведена (БАЛАНС) (2)'!F617,'зведена (БАЛАНС) (2)'!E617-'зведена (БАЛАНС) (2)'!F617,0)</f>
        <v>5997.7</v>
      </c>
      <c r="F617" s="5">
        <f>IF('зведена (БАЛАНС) (2)'!F617&gt;'зведена (БАЛАНС) (2)'!E617,'зведена (БАЛАНС) (2)'!F617-'зведена (БАЛАНС) (2)'!E617,0)</f>
        <v>0</v>
      </c>
    </row>
    <row r="618" spans="1:6" s="28" customFormat="1" x14ac:dyDescent="0.25">
      <c r="A618" s="38">
        <v>10</v>
      </c>
      <c r="B618" s="34" t="s">
        <v>984</v>
      </c>
      <c r="C618" s="18">
        <v>10520000000</v>
      </c>
      <c r="D618" s="32" t="s">
        <v>2995</v>
      </c>
      <c r="E618" s="5">
        <f>IF('зведена (БАЛАНС) (2)'!E618&gt;'зведена (БАЛАНС) (2)'!F618,'зведена (БАЛАНС) (2)'!E618-'зведена (БАЛАНС) (2)'!F618,0)</f>
        <v>15104.3</v>
      </c>
      <c r="F618" s="5">
        <f>IF('зведена (БАЛАНС) (2)'!F618&gt;'зведена (БАЛАНС) (2)'!E618,'зведена (БАЛАНС) (2)'!F618-'зведена (БАЛАНС) (2)'!E618,0)</f>
        <v>0</v>
      </c>
    </row>
    <row r="619" spans="1:6" s="27" customFormat="1" x14ac:dyDescent="0.25">
      <c r="A619" s="38">
        <v>10</v>
      </c>
      <c r="B619" s="34" t="s">
        <v>984</v>
      </c>
      <c r="C619" s="18">
        <v>10521000000</v>
      </c>
      <c r="D619" s="32" t="s">
        <v>2996</v>
      </c>
      <c r="E619" s="5">
        <f>IF('зведена (БАЛАНС) (2)'!E619&gt;'зведена (БАЛАНС) (2)'!F619,'зведена (БАЛАНС) (2)'!E619-'зведена (БАЛАНС) (2)'!F619,0)</f>
        <v>564.6</v>
      </c>
      <c r="F619" s="5">
        <f>IF('зведена (БАЛАНС) (2)'!F619&gt;'зведена (БАЛАНС) (2)'!E619,'зведена (БАЛАНС) (2)'!F619-'зведена (БАЛАНС) (2)'!E619,0)</f>
        <v>0</v>
      </c>
    </row>
    <row r="620" spans="1:6" x14ac:dyDescent="0.25">
      <c r="A620" s="38">
        <v>10</v>
      </c>
      <c r="B620" s="34" t="s">
        <v>984</v>
      </c>
      <c r="C620" s="18">
        <v>10522000000</v>
      </c>
      <c r="D620" s="32" t="s">
        <v>2997</v>
      </c>
      <c r="E620" s="5">
        <f>IF('зведена (БАЛАНС) (2)'!E620&gt;'зведена (БАЛАНС) (2)'!F620,'зведена (БАЛАНС) (2)'!E620-'зведена (БАЛАНС) (2)'!F620,0)</f>
        <v>0</v>
      </c>
      <c r="F620" s="5">
        <f>IF('зведена (БАЛАНС) (2)'!F620&gt;'зведена (БАЛАНС) (2)'!E620,'зведена (БАЛАНС) (2)'!F620-'зведена (БАЛАНС) (2)'!E620,0)</f>
        <v>340.9</v>
      </c>
    </row>
    <row r="621" spans="1:6" x14ac:dyDescent="0.25">
      <c r="A621" s="38">
        <v>10</v>
      </c>
      <c r="B621" s="34" t="s">
        <v>984</v>
      </c>
      <c r="C621" s="18">
        <v>10523000000</v>
      </c>
      <c r="D621" s="32" t="s">
        <v>2998</v>
      </c>
      <c r="E621" s="5">
        <f>IF('зведена (БАЛАНС) (2)'!E621&gt;'зведена (БАЛАНС) (2)'!F621,'зведена (БАЛАНС) (2)'!E621-'зведена (БАЛАНС) (2)'!F621,0)</f>
        <v>0</v>
      </c>
      <c r="F621" s="5">
        <f>IF('зведена (БАЛАНС) (2)'!F621&gt;'зведена (БАЛАНС) (2)'!E621,'зведена (БАЛАНС) (2)'!F621-'зведена (БАЛАНС) (2)'!E621,0)</f>
        <v>0</v>
      </c>
    </row>
    <row r="622" spans="1:6" x14ac:dyDescent="0.25">
      <c r="A622" s="38">
        <v>10</v>
      </c>
      <c r="B622" s="34" t="s">
        <v>985</v>
      </c>
      <c r="C622" s="18">
        <v>10524000000</v>
      </c>
      <c r="D622" s="32" t="s">
        <v>2498</v>
      </c>
      <c r="E622" s="5">
        <f>IF('зведена (БАЛАНС) (2)'!E622&gt;'зведена (БАЛАНС) (2)'!F622,'зведена (БАЛАНС) (2)'!E622-'зведена (БАЛАНС) (2)'!F622,0)</f>
        <v>42836.1</v>
      </c>
      <c r="F622" s="5">
        <f>IF('зведена (БАЛАНС) (2)'!F622&gt;'зведена (БАЛАНС) (2)'!E622,'зведена (БАЛАНС) (2)'!F622-'зведена (БАЛАНС) (2)'!E622,0)</f>
        <v>0</v>
      </c>
    </row>
    <row r="623" spans="1:6" x14ac:dyDescent="0.25">
      <c r="A623" s="38">
        <v>10</v>
      </c>
      <c r="B623" s="34" t="s">
        <v>984</v>
      </c>
      <c r="C623" s="18">
        <v>10525000000</v>
      </c>
      <c r="D623" s="32" t="s">
        <v>1793</v>
      </c>
      <c r="E623" s="5">
        <f>IF('зведена (БАЛАНС) (2)'!E623&gt;'зведена (БАЛАНС) (2)'!F623,'зведена (БАЛАНС) (2)'!E623-'зведена (БАЛАНС) (2)'!F623,0)</f>
        <v>0</v>
      </c>
      <c r="F623" s="5">
        <f>IF('зведена (БАЛАНС) (2)'!F623&gt;'зведена (БАЛАНС) (2)'!E623,'зведена (БАЛАНС) (2)'!F623-'зведена (БАЛАНС) (2)'!E623,0)</f>
        <v>1799.8</v>
      </c>
    </row>
    <row r="624" spans="1:6" x14ac:dyDescent="0.25">
      <c r="A624" s="38">
        <v>10</v>
      </c>
      <c r="B624" s="34" t="s">
        <v>984</v>
      </c>
      <c r="C624" s="18">
        <v>10526000000</v>
      </c>
      <c r="D624" s="32" t="s">
        <v>1794</v>
      </c>
      <c r="E624" s="5">
        <f>IF('зведена (БАЛАНС) (2)'!E624&gt;'зведена (БАЛАНС) (2)'!F624,'зведена (БАЛАНС) (2)'!E624-'зведена (БАЛАНС) (2)'!F624,0)</f>
        <v>15968.6</v>
      </c>
      <c r="F624" s="5">
        <f>IF('зведена (БАЛАНС) (2)'!F624&gt;'зведена (БАЛАНС) (2)'!E624,'зведена (БАЛАНС) (2)'!F624-'зведена (БАЛАНС) (2)'!E624,0)</f>
        <v>0</v>
      </c>
    </row>
    <row r="625" spans="1:6" x14ac:dyDescent="0.25">
      <c r="A625" s="38">
        <v>10</v>
      </c>
      <c r="B625" s="34" t="s">
        <v>986</v>
      </c>
      <c r="C625" s="18">
        <v>10527000000</v>
      </c>
      <c r="D625" s="32" t="s">
        <v>1795</v>
      </c>
      <c r="E625" s="5">
        <f>IF('зведена (БАЛАНС) (2)'!E625&gt;'зведена (БАЛАНС) (2)'!F625,'зведена (БАЛАНС) (2)'!E625-'зведена (БАЛАНС) (2)'!F625,0)</f>
        <v>0</v>
      </c>
      <c r="F625" s="5">
        <f>IF('зведена (БАЛАНС) (2)'!F625&gt;'зведена (БАЛАНС) (2)'!E625,'зведена (БАЛАНС) (2)'!F625-'зведена (БАЛАНС) (2)'!E625,0)</f>
        <v>0</v>
      </c>
    </row>
    <row r="626" spans="1:6" x14ac:dyDescent="0.25">
      <c r="A626" s="38">
        <v>10</v>
      </c>
      <c r="B626" s="34" t="s">
        <v>986</v>
      </c>
      <c r="C626" s="18">
        <v>10528000000</v>
      </c>
      <c r="D626" s="32" t="s">
        <v>1796</v>
      </c>
      <c r="E626" s="5">
        <f>IF('зведена (БАЛАНС) (2)'!E626&gt;'зведена (БАЛАНС) (2)'!F626,'зведена (БАЛАНС) (2)'!E626-'зведена (БАЛАНС) (2)'!F626,0)</f>
        <v>46612.1</v>
      </c>
      <c r="F626" s="5">
        <f>IF('зведена (БАЛАНС) (2)'!F626&gt;'зведена (БАЛАНС) (2)'!E626,'зведена (БАЛАНС) (2)'!F626-'зведена (БАЛАНС) (2)'!E626,0)</f>
        <v>0</v>
      </c>
    </row>
    <row r="627" spans="1:6" x14ac:dyDescent="0.25">
      <c r="A627" s="38">
        <v>10</v>
      </c>
      <c r="B627" s="34" t="s">
        <v>984</v>
      </c>
      <c r="C627" s="18">
        <v>10529000000</v>
      </c>
      <c r="D627" s="32" t="s">
        <v>2840</v>
      </c>
      <c r="E627" s="5">
        <f>IF('зведена (БАЛАНС) (2)'!E627&gt;'зведена (БАЛАНС) (2)'!F627,'зведена (БАЛАНС) (2)'!E627-'зведена (БАЛАНС) (2)'!F627,0)</f>
        <v>129092.1</v>
      </c>
      <c r="F627" s="5">
        <f>IF('зведена (БАЛАНС) (2)'!F627&gt;'зведена (БАЛАНС) (2)'!E627,'зведена (БАЛАНС) (2)'!F627-'зведена (БАЛАНС) (2)'!E627,0)</f>
        <v>0</v>
      </c>
    </row>
    <row r="628" spans="1:6" x14ac:dyDescent="0.25">
      <c r="A628" s="38">
        <v>10</v>
      </c>
      <c r="B628" s="34" t="s">
        <v>983</v>
      </c>
      <c r="C628" s="18">
        <v>10530000000</v>
      </c>
      <c r="D628" s="32" t="s">
        <v>1797</v>
      </c>
      <c r="E628" s="5">
        <f>IF('зведена (БАЛАНС) (2)'!E628&gt;'зведена (БАЛАНС) (2)'!F628,'зведена (БАЛАНС) (2)'!E628-'зведена (БАЛАНС) (2)'!F628,0)</f>
        <v>74273.2</v>
      </c>
      <c r="F628" s="5">
        <f>IF('зведена (БАЛАНС) (2)'!F628&gt;'зведена (БАЛАНС) (2)'!E628,'зведена (БАЛАНС) (2)'!F628-'зведена (БАЛАНС) (2)'!E628,0)</f>
        <v>0</v>
      </c>
    </row>
    <row r="629" spans="1:6" x14ac:dyDescent="0.25">
      <c r="A629" s="38">
        <v>10</v>
      </c>
      <c r="B629" s="34" t="s">
        <v>986</v>
      </c>
      <c r="C629" s="18">
        <v>10531000000</v>
      </c>
      <c r="D629" s="32" t="s">
        <v>1798</v>
      </c>
      <c r="E629" s="5">
        <f>IF('зведена (БАЛАНС) (2)'!E629&gt;'зведена (БАЛАНС) (2)'!F629,'зведена (БАЛАНС) (2)'!E629-'зведена (БАЛАНС) (2)'!F629,0)</f>
        <v>81234.5</v>
      </c>
      <c r="F629" s="5">
        <f>IF('зведена (БАЛАНС) (2)'!F629&gt;'зведена (БАЛАНС) (2)'!E629,'зведена (БАЛАНС) (2)'!F629-'зведена (БАЛАНС) (2)'!E629,0)</f>
        <v>0</v>
      </c>
    </row>
    <row r="630" spans="1:6" x14ac:dyDescent="0.25">
      <c r="A630" s="38">
        <v>10</v>
      </c>
      <c r="B630" s="34" t="s">
        <v>986</v>
      </c>
      <c r="C630" s="18">
        <v>10532000000</v>
      </c>
      <c r="D630" s="32" t="s">
        <v>1799</v>
      </c>
      <c r="E630" s="5">
        <f>IF('зведена (БАЛАНС) (2)'!E630&gt;'зведена (БАЛАНС) (2)'!F630,'зведена (БАЛАНС) (2)'!E630-'зведена (БАЛАНС) (2)'!F630,0)</f>
        <v>786.5</v>
      </c>
      <c r="F630" s="5">
        <f>IF('зведена (БАЛАНС) (2)'!F630&gt;'зведена (БАЛАНС) (2)'!E630,'зведена (БАЛАНС) (2)'!F630-'зведена (БАЛАНС) (2)'!E630,0)</f>
        <v>0</v>
      </c>
    </row>
    <row r="631" spans="1:6" x14ac:dyDescent="0.25">
      <c r="A631" s="38">
        <v>10</v>
      </c>
      <c r="B631" s="34" t="s">
        <v>983</v>
      </c>
      <c r="C631" s="18">
        <v>10533000000</v>
      </c>
      <c r="D631" s="32" t="s">
        <v>1800</v>
      </c>
      <c r="E631" s="5">
        <f>IF('зведена (БАЛАНС) (2)'!E631&gt;'зведена (БАЛАНС) (2)'!F631,'зведена (БАЛАНС) (2)'!E631-'зведена (БАЛАНС) (2)'!F631,0)</f>
        <v>57280.1</v>
      </c>
      <c r="F631" s="5">
        <f>IF('зведена (БАЛАНС) (2)'!F631&gt;'зведена (БАЛАНС) (2)'!E631,'зведена (БАЛАНС) (2)'!F631-'зведена (БАЛАНС) (2)'!E631,0)</f>
        <v>0</v>
      </c>
    </row>
    <row r="632" spans="1:6" x14ac:dyDescent="0.25">
      <c r="A632" s="38">
        <v>10</v>
      </c>
      <c r="B632" s="34" t="s">
        <v>983</v>
      </c>
      <c r="C632" s="18">
        <v>10534000000</v>
      </c>
      <c r="D632" s="32" t="s">
        <v>1801</v>
      </c>
      <c r="E632" s="5">
        <f>IF('зведена (БАЛАНС) (2)'!E632&gt;'зведена (БАЛАНС) (2)'!F632,'зведена (БАЛАНС) (2)'!E632-'зведена (БАЛАНС) (2)'!F632,0)</f>
        <v>89640.3</v>
      </c>
      <c r="F632" s="5">
        <f>IF('зведена (БАЛАНС) (2)'!F632&gt;'зведена (БАЛАНС) (2)'!E632,'зведена (БАЛАНС) (2)'!F632-'зведена (БАЛАНС) (2)'!E632,0)</f>
        <v>0</v>
      </c>
    </row>
    <row r="633" spans="1:6" x14ac:dyDescent="0.25">
      <c r="A633" s="38">
        <v>10</v>
      </c>
      <c r="B633" s="34" t="s">
        <v>985</v>
      </c>
      <c r="C633" s="18">
        <v>10535000000</v>
      </c>
      <c r="D633" s="32" t="s">
        <v>1802</v>
      </c>
      <c r="E633" s="5">
        <f>IF('зведена (БАЛАНС) (2)'!E633&gt;'зведена (БАЛАНС) (2)'!F633,'зведена (БАЛАНС) (2)'!E633-'зведена (БАЛАНС) (2)'!F633,0)</f>
        <v>0</v>
      </c>
      <c r="F633" s="5">
        <f>IF('зведена (БАЛАНС) (2)'!F633&gt;'зведена (БАЛАНС) (2)'!E633,'зведена (БАЛАНС) (2)'!F633-'зведена (БАЛАНС) (2)'!E633,0)</f>
        <v>0</v>
      </c>
    </row>
    <row r="634" spans="1:6" x14ac:dyDescent="0.25">
      <c r="A634" s="38">
        <v>10</v>
      </c>
      <c r="B634" s="34" t="s">
        <v>984</v>
      </c>
      <c r="C634" s="18">
        <v>10536000000</v>
      </c>
      <c r="D634" s="32" t="s">
        <v>1803</v>
      </c>
      <c r="E634" s="5">
        <f>IF('зведена (БАЛАНС) (2)'!E634&gt;'зведена (БАЛАНС) (2)'!F634,'зведена (БАЛАНС) (2)'!E634-'зведена (БАЛАНС) (2)'!F634,0)</f>
        <v>3208.7</v>
      </c>
      <c r="F634" s="5">
        <f>IF('зведена (БАЛАНС) (2)'!F634&gt;'зведена (БАЛАНС) (2)'!E634,'зведена (БАЛАНС) (2)'!F634-'зведена (БАЛАНС) (2)'!E634,0)</f>
        <v>0</v>
      </c>
    </row>
    <row r="635" spans="1:6" x14ac:dyDescent="0.25">
      <c r="A635" s="38">
        <v>10</v>
      </c>
      <c r="B635" s="34" t="s">
        <v>984</v>
      </c>
      <c r="C635" s="18">
        <v>10537000000</v>
      </c>
      <c r="D635" s="32" t="s">
        <v>1804</v>
      </c>
      <c r="E635" s="5">
        <f>IF('зведена (БАЛАНС) (2)'!E635&gt;'зведена (БАЛАНС) (2)'!F635,'зведена (БАЛАНС) (2)'!E635-'зведена (БАЛАНС) (2)'!F635,0)</f>
        <v>0</v>
      </c>
      <c r="F635" s="5">
        <f>IF('зведена (БАЛАНС) (2)'!F635&gt;'зведена (БАЛАНС) (2)'!E635,'зведена (БАЛАНС) (2)'!F635-'зведена (БАЛАНС) (2)'!E635,0)</f>
        <v>7647.1</v>
      </c>
    </row>
    <row r="636" spans="1:6" x14ac:dyDescent="0.25">
      <c r="A636" s="38">
        <v>10</v>
      </c>
      <c r="B636" s="34" t="s">
        <v>984</v>
      </c>
      <c r="C636" s="18">
        <v>10538000000</v>
      </c>
      <c r="D636" s="32" t="s">
        <v>1805</v>
      </c>
      <c r="E636" s="5">
        <f>IF('зведена (БАЛАНС) (2)'!E636&gt;'зведена (БАЛАНС) (2)'!F636,'зведена (БАЛАНС) (2)'!E636-'зведена (БАЛАНС) (2)'!F636,0)</f>
        <v>120097.8</v>
      </c>
      <c r="F636" s="5">
        <f>IF('зведена (БАЛАНС) (2)'!F636&gt;'зведена (БАЛАНС) (2)'!E636,'зведена (БАЛАНС) (2)'!F636-'зведена (БАЛАНС) (2)'!E636,0)</f>
        <v>0</v>
      </c>
    </row>
    <row r="637" spans="1:6" x14ac:dyDescent="0.25">
      <c r="A637" s="38">
        <v>10</v>
      </c>
      <c r="B637" s="34" t="s">
        <v>985</v>
      </c>
      <c r="C637" s="18">
        <v>10539000000</v>
      </c>
      <c r="D637" s="32" t="s">
        <v>1806</v>
      </c>
      <c r="E637" s="5">
        <f>IF('зведена (БАЛАНС) (2)'!E637&gt;'зведена (БАЛАНС) (2)'!F637,'зведена (БАЛАНС) (2)'!E637-'зведена (БАЛАНС) (2)'!F637,0)</f>
        <v>42529.7</v>
      </c>
      <c r="F637" s="5">
        <f>IF('зведена (БАЛАНС) (2)'!F637&gt;'зведена (БАЛАНС) (2)'!E637,'зведена (БАЛАНС) (2)'!F637-'зведена (БАЛАНС) (2)'!E637,0)</f>
        <v>0</v>
      </c>
    </row>
    <row r="638" spans="1:6" x14ac:dyDescent="0.25">
      <c r="A638" s="38">
        <v>10</v>
      </c>
      <c r="B638" s="34" t="s">
        <v>985</v>
      </c>
      <c r="C638" s="18">
        <v>10540000000</v>
      </c>
      <c r="D638" s="32" t="s">
        <v>2999</v>
      </c>
      <c r="E638" s="5">
        <f>IF('зведена (БАЛАНС) (2)'!E638&gt;'зведена (БАЛАНС) (2)'!F638,'зведена (БАЛАНС) (2)'!E638-'зведена (БАЛАНС) (2)'!F638,0)</f>
        <v>0</v>
      </c>
      <c r="F638" s="5">
        <f>IF('зведена (БАЛАНС) (2)'!F638&gt;'зведена (БАЛАНС) (2)'!E638,'зведена (БАЛАНС) (2)'!F638-'зведена (БАЛАНС) (2)'!E638,0)</f>
        <v>5777.4</v>
      </c>
    </row>
    <row r="639" spans="1:6" x14ac:dyDescent="0.25">
      <c r="A639" s="38">
        <v>10</v>
      </c>
      <c r="B639" s="34" t="s">
        <v>985</v>
      </c>
      <c r="C639" s="18">
        <v>10541000000</v>
      </c>
      <c r="D639" s="32" t="s">
        <v>1808</v>
      </c>
      <c r="E639" s="5">
        <f>IF('зведена (БАЛАНС) (2)'!E639&gt;'зведена (БАЛАНС) (2)'!F639,'зведена (БАЛАНС) (2)'!E639-'зведена (БАЛАНС) (2)'!F639,0)</f>
        <v>0</v>
      </c>
      <c r="F639" s="5">
        <f>IF('зведена (БАЛАНС) (2)'!F639&gt;'зведена (БАЛАНС) (2)'!E639,'зведена (БАЛАНС) (2)'!F639-'зведена (БАЛАНС) (2)'!E639,0)</f>
        <v>19763.7</v>
      </c>
    </row>
    <row r="640" spans="1:6" x14ac:dyDescent="0.25">
      <c r="A640" s="38">
        <v>10</v>
      </c>
      <c r="B640" s="34" t="s">
        <v>984</v>
      </c>
      <c r="C640" s="18">
        <v>10542000000</v>
      </c>
      <c r="D640" s="32" t="s">
        <v>1809</v>
      </c>
      <c r="E640" s="5">
        <f>IF('зведена (БАЛАНС) (2)'!E640&gt;'зведена (БАЛАНС) (2)'!F640,'зведена (БАЛАНС) (2)'!E640-'зведена (БАЛАНС) (2)'!F640,0)</f>
        <v>1775.9</v>
      </c>
      <c r="F640" s="5">
        <f>IF('зведена (БАЛАНС) (2)'!F640&gt;'зведена (БАЛАНС) (2)'!E640,'зведена (БАЛАНС) (2)'!F640-'зведена (БАЛАНС) (2)'!E640,0)</f>
        <v>0</v>
      </c>
    </row>
    <row r="641" spans="1:6" x14ac:dyDescent="0.25">
      <c r="A641" s="38">
        <v>10</v>
      </c>
      <c r="B641" s="34" t="s">
        <v>985</v>
      </c>
      <c r="C641" s="18">
        <v>10543000000</v>
      </c>
      <c r="D641" s="32" t="s">
        <v>1810</v>
      </c>
      <c r="E641" s="5">
        <f>IF('зведена (БАЛАНС) (2)'!E641&gt;'зведена (БАЛАНС) (2)'!F641,'зведена (БАЛАНС) (2)'!E641-'зведена (БАЛАНС) (2)'!F641,0)</f>
        <v>8107.3</v>
      </c>
      <c r="F641" s="5">
        <f>IF('зведена (БАЛАНС) (2)'!F641&gt;'зведена (БАЛАНС) (2)'!E641,'зведена (БАЛАНС) (2)'!F641-'зведена (БАЛАНС) (2)'!E641,0)</f>
        <v>0</v>
      </c>
    </row>
    <row r="642" spans="1:6" x14ac:dyDescent="0.25">
      <c r="A642" s="38">
        <v>10</v>
      </c>
      <c r="B642" s="34" t="s">
        <v>984</v>
      </c>
      <c r="C642" s="18">
        <v>10544000000</v>
      </c>
      <c r="D642" s="32" t="s">
        <v>1811</v>
      </c>
      <c r="E642" s="5">
        <f>IF('зведена (БАЛАНС) (2)'!E642&gt;'зведена (БАЛАНС) (2)'!F642,'зведена (БАЛАНС) (2)'!E642-'зведена (БАЛАНС) (2)'!F642,0)</f>
        <v>0</v>
      </c>
      <c r="F642" s="5">
        <f>IF('зведена (БАЛАНС) (2)'!F642&gt;'зведена (БАЛАНС) (2)'!E642,'зведена (БАЛАНС) (2)'!F642-'зведена (БАЛАНС) (2)'!E642,0)</f>
        <v>0</v>
      </c>
    </row>
    <row r="643" spans="1:6" x14ac:dyDescent="0.25">
      <c r="A643" s="38">
        <v>10</v>
      </c>
      <c r="B643" s="34" t="s">
        <v>985</v>
      </c>
      <c r="C643" s="18">
        <v>10545000000</v>
      </c>
      <c r="D643" s="32" t="s">
        <v>1812</v>
      </c>
      <c r="E643" s="5">
        <f>IF('зведена (БАЛАНС) (2)'!E643&gt;'зведена (БАЛАНС) (2)'!F643,'зведена (БАЛАНС) (2)'!E643-'зведена (БАЛАНС) (2)'!F643,0)</f>
        <v>14328.6</v>
      </c>
      <c r="F643" s="5">
        <f>IF('зведена (БАЛАНС) (2)'!F643&gt;'зведена (БАЛАНС) (2)'!E643,'зведена (БАЛАНС) (2)'!F643-'зведена (БАЛАНС) (2)'!E643,0)</f>
        <v>0</v>
      </c>
    </row>
    <row r="644" spans="1:6" x14ac:dyDescent="0.25">
      <c r="A644" s="38">
        <v>10</v>
      </c>
      <c r="B644" s="34" t="s">
        <v>986</v>
      </c>
      <c r="C644" s="18">
        <v>10546000000</v>
      </c>
      <c r="D644" s="32" t="s">
        <v>1813</v>
      </c>
      <c r="E644" s="5">
        <f>IF('зведена (БАЛАНС) (2)'!E644&gt;'зведена (БАЛАНС) (2)'!F644,'зведена (БАЛАНС) (2)'!E644-'зведена (БАЛАНС) (2)'!F644,0)</f>
        <v>0</v>
      </c>
      <c r="F644" s="5">
        <f>IF('зведена (БАЛАНС) (2)'!F644&gt;'зведена (БАЛАНС) (2)'!E644,'зведена (БАЛАНС) (2)'!F644-'зведена (БАЛАНС) (2)'!E644,0)</f>
        <v>0</v>
      </c>
    </row>
    <row r="645" spans="1:6" x14ac:dyDescent="0.25">
      <c r="A645" s="38">
        <v>10</v>
      </c>
      <c r="B645" s="34" t="s">
        <v>983</v>
      </c>
      <c r="C645" s="18">
        <v>10547000000</v>
      </c>
      <c r="D645" s="32" t="s">
        <v>1814</v>
      </c>
      <c r="E645" s="5">
        <f>IF('зведена (БАЛАНС) (2)'!E645&gt;'зведена (БАЛАНС) (2)'!F645,'зведена (БАЛАНС) (2)'!E645-'зведена (БАЛАНС) (2)'!F645,0)</f>
        <v>0</v>
      </c>
      <c r="F645" s="5">
        <f>IF('зведена (БАЛАНС) (2)'!F645&gt;'зведена (БАЛАНС) (2)'!E645,'зведена (БАЛАНС) (2)'!F645-'зведена (БАЛАНС) (2)'!E645,0)</f>
        <v>0</v>
      </c>
    </row>
    <row r="646" spans="1:6" x14ac:dyDescent="0.25">
      <c r="A646" s="38">
        <v>10</v>
      </c>
      <c r="B646" s="34" t="s">
        <v>985</v>
      </c>
      <c r="C646" s="18">
        <v>10548000000</v>
      </c>
      <c r="D646" s="32" t="s">
        <v>2498</v>
      </c>
      <c r="E646" s="5">
        <f>IF('зведена (БАЛАНС) (2)'!E646&gt;'зведена (БАЛАНС) (2)'!F646,'зведена (БАЛАНС) (2)'!E646-'зведена (БАЛАНС) (2)'!F646,0)</f>
        <v>26561.4</v>
      </c>
      <c r="F646" s="5">
        <f>IF('зведена (БАЛАНС) (2)'!F646&gt;'зведена (БАЛАНС) (2)'!E646,'зведена (БАЛАНС) (2)'!F646-'зведена (БАЛАНС) (2)'!E646,0)</f>
        <v>0</v>
      </c>
    </row>
    <row r="647" spans="1:6" x14ac:dyDescent="0.25">
      <c r="A647" s="38">
        <v>10</v>
      </c>
      <c r="B647" s="34" t="s">
        <v>985</v>
      </c>
      <c r="C647" s="18">
        <v>10549000000</v>
      </c>
      <c r="D647" s="32" t="s">
        <v>1815</v>
      </c>
      <c r="E647" s="5">
        <f>IF('зведена (БАЛАНС) (2)'!E647&gt;'зведена (БАЛАНС) (2)'!F647,'зведена (БАЛАНС) (2)'!E647-'зведена (БАЛАНС) (2)'!F647,0)</f>
        <v>0</v>
      </c>
      <c r="F647" s="5">
        <f>IF('зведена (БАЛАНС) (2)'!F647&gt;'зведена (БАЛАНС) (2)'!E647,'зведена (БАЛАНС) (2)'!F647-'зведена (БАЛАНС) (2)'!E647,0)</f>
        <v>7716.2</v>
      </c>
    </row>
    <row r="648" spans="1:6" x14ac:dyDescent="0.25">
      <c r="A648" s="38">
        <v>10</v>
      </c>
      <c r="B648" s="34" t="s">
        <v>985</v>
      </c>
      <c r="C648" s="18">
        <v>10550000000</v>
      </c>
      <c r="D648" s="32" t="s">
        <v>1816</v>
      </c>
      <c r="E648" s="5">
        <f>IF('зведена (БАЛАНС) (2)'!E648&gt;'зведена (БАЛАНС) (2)'!F648,'зведена (БАЛАНС) (2)'!E648-'зведена (БАЛАНС) (2)'!F648,0)</f>
        <v>3797.9</v>
      </c>
      <c r="F648" s="5">
        <f>IF('зведена (БАЛАНС) (2)'!F648&gt;'зведена (БАЛАНС) (2)'!E648,'зведена (БАЛАНС) (2)'!F648-'зведена (БАЛАНС) (2)'!E648,0)</f>
        <v>0</v>
      </c>
    </row>
    <row r="649" spans="1:6" x14ac:dyDescent="0.25">
      <c r="A649" s="38">
        <v>10</v>
      </c>
      <c r="B649" s="34" t="s">
        <v>985</v>
      </c>
      <c r="C649" s="18">
        <v>10551000000</v>
      </c>
      <c r="D649" s="32" t="s">
        <v>1817</v>
      </c>
      <c r="E649" s="5">
        <f>IF('зведена (БАЛАНС) (2)'!E649&gt;'зведена (БАЛАНС) (2)'!F649,'зведена (БАЛАНС) (2)'!E649-'зведена (БАЛАНС) (2)'!F649,0)</f>
        <v>0</v>
      </c>
      <c r="F649" s="5">
        <f>IF('зведена (БАЛАНС) (2)'!F649&gt;'зведена (БАЛАНС) (2)'!E649,'зведена (БАЛАНС) (2)'!F649-'зведена (БАЛАНС) (2)'!E649,0)</f>
        <v>29184.9</v>
      </c>
    </row>
    <row r="650" spans="1:6" x14ac:dyDescent="0.25">
      <c r="A650" s="38">
        <v>10</v>
      </c>
      <c r="B650" s="34" t="s">
        <v>985</v>
      </c>
      <c r="C650" s="18">
        <v>10552000000</v>
      </c>
      <c r="D650" s="32" t="s">
        <v>3000</v>
      </c>
      <c r="E650" s="5">
        <f>IF('зведена (БАЛАНС) (2)'!E650&gt;'зведена (БАЛАНС) (2)'!F650,'зведена (БАЛАНС) (2)'!E650-'зведена (БАЛАНС) (2)'!F650,0)</f>
        <v>36292.1</v>
      </c>
      <c r="F650" s="5">
        <f>IF('зведена (БАЛАНС) (2)'!F650&gt;'зведена (БАЛАНС) (2)'!E650,'зведена (БАЛАНС) (2)'!F650-'зведена (БАЛАНС) (2)'!E650,0)</f>
        <v>0</v>
      </c>
    </row>
    <row r="651" spans="1:6" x14ac:dyDescent="0.25">
      <c r="A651" s="38">
        <v>10</v>
      </c>
      <c r="B651" s="34" t="s">
        <v>984</v>
      </c>
      <c r="C651" s="18">
        <v>10553000000</v>
      </c>
      <c r="D651" s="32" t="s">
        <v>3001</v>
      </c>
      <c r="E651" s="5">
        <f>IF('зведена (БАЛАНС) (2)'!E651&gt;'зведена (БАЛАНС) (2)'!F651,'зведена (БАЛАНС) (2)'!E651-'зведена (БАЛАНС) (2)'!F651,0)</f>
        <v>0</v>
      </c>
      <c r="F651" s="5">
        <f>IF('зведена (БАЛАНС) (2)'!F651&gt;'зведена (БАЛАНС) (2)'!E651,'зведена (БАЛАНС) (2)'!F651-'зведена (БАЛАНС) (2)'!E651,0)</f>
        <v>8388.6</v>
      </c>
    </row>
    <row r="652" spans="1:6" x14ac:dyDescent="0.25">
      <c r="A652" s="38">
        <v>10</v>
      </c>
      <c r="B652" s="34" t="s">
        <v>985</v>
      </c>
      <c r="C652" s="18">
        <v>10554000000</v>
      </c>
      <c r="D652" s="32" t="s">
        <v>1820</v>
      </c>
      <c r="E652" s="5">
        <f>IF('зведена (БАЛАНС) (2)'!E652&gt;'зведена (БАЛАНС) (2)'!F652,'зведена (БАЛАНС) (2)'!E652-'зведена (БАЛАНС) (2)'!F652,0)</f>
        <v>0</v>
      </c>
      <c r="F652" s="5">
        <f>IF('зведена (БАЛАНС) (2)'!F652&gt;'зведена (БАЛАНС) (2)'!E652,'зведена (БАЛАНС) (2)'!F652-'зведена (БАЛАНС) (2)'!E652,0)</f>
        <v>17010.8</v>
      </c>
    </row>
    <row r="653" spans="1:6" s="28" customFormat="1" x14ac:dyDescent="0.25">
      <c r="A653" s="38">
        <v>10</v>
      </c>
      <c r="B653" s="34" t="s">
        <v>986</v>
      </c>
      <c r="C653" s="18">
        <v>10555000000</v>
      </c>
      <c r="D653" s="32" t="s">
        <v>1821</v>
      </c>
      <c r="E653" s="5">
        <f>IF('зведена (БАЛАНС) (2)'!E653&gt;'зведена (БАЛАНС) (2)'!F653,'зведена (БАЛАНС) (2)'!E653-'зведена (БАЛАНС) (2)'!F653,0)</f>
        <v>4911.5</v>
      </c>
      <c r="F653" s="5">
        <f>IF('зведена (БАЛАНС) (2)'!F653&gt;'зведена (БАЛАНС) (2)'!E653,'зведена (БАЛАНС) (2)'!F653-'зведена (БАЛАНС) (2)'!E653,0)</f>
        <v>0</v>
      </c>
    </row>
    <row r="654" spans="1:6" s="28" customFormat="1" x14ac:dyDescent="0.25">
      <c r="A654" s="38">
        <v>10</v>
      </c>
      <c r="B654" s="34" t="s">
        <v>984</v>
      </c>
      <c r="C654" s="18">
        <v>10556000000</v>
      </c>
      <c r="D654" s="32" t="s">
        <v>1822</v>
      </c>
      <c r="E654" s="5">
        <f>IF('зведена (БАЛАНС) (2)'!E654&gt;'зведена (БАЛАНС) (2)'!F654,'зведена (БАЛАНС) (2)'!E654-'зведена (БАЛАНС) (2)'!F654,0)</f>
        <v>13362.5</v>
      </c>
      <c r="F654" s="5">
        <f>IF('зведена (БАЛАНС) (2)'!F654&gt;'зведена (БАЛАНС) (2)'!E654,'зведена (БАЛАНС) (2)'!F654-'зведена (БАЛАНС) (2)'!E654,0)</f>
        <v>0</v>
      </c>
    </row>
    <row r="655" spans="1:6" s="28" customFormat="1" x14ac:dyDescent="0.25">
      <c r="A655" s="38">
        <v>10</v>
      </c>
      <c r="B655" s="34" t="s">
        <v>984</v>
      </c>
      <c r="C655" s="18">
        <v>10557000000</v>
      </c>
      <c r="D655" s="32" t="s">
        <v>1823</v>
      </c>
      <c r="E655" s="5">
        <f>IF('зведена (БАЛАНС) (2)'!E655&gt;'зведена (БАЛАНС) (2)'!F655,'зведена (БАЛАНС) (2)'!E655-'зведена (БАЛАНС) (2)'!F655,0)</f>
        <v>0</v>
      </c>
      <c r="F655" s="5">
        <f>IF('зведена (БАЛАНС) (2)'!F655&gt;'зведена (БАЛАНС) (2)'!E655,'зведена (БАЛАНС) (2)'!F655-'зведена (БАЛАНС) (2)'!E655,0)</f>
        <v>5555.9</v>
      </c>
    </row>
    <row r="656" spans="1:6" s="28" customFormat="1" x14ac:dyDescent="0.25">
      <c r="A656" s="38">
        <v>10</v>
      </c>
      <c r="B656" s="34" t="s">
        <v>985</v>
      </c>
      <c r="C656" s="18">
        <v>10558000000</v>
      </c>
      <c r="D656" s="32" t="s">
        <v>2839</v>
      </c>
      <c r="E656" s="5">
        <f>IF('зведена (БАЛАНС) (2)'!E656&gt;'зведена (БАЛАНС) (2)'!F656,'зведена (БАЛАНС) (2)'!E656-'зведена (БАЛАНС) (2)'!F656,0)</f>
        <v>0</v>
      </c>
      <c r="F656" s="5">
        <f>IF('зведена (БАЛАНС) (2)'!F656&gt;'зведена (БАЛАНС) (2)'!E656,'зведена (БАЛАНС) (2)'!F656-'зведена (БАЛАНС) (2)'!E656,0)</f>
        <v>4352.3999999999996</v>
      </c>
    </row>
    <row r="657" spans="1:6" s="28" customFormat="1" x14ac:dyDescent="0.25">
      <c r="A657" s="38">
        <v>10</v>
      </c>
      <c r="B657" s="34" t="s">
        <v>984</v>
      </c>
      <c r="C657" s="18">
        <v>10559000000</v>
      </c>
      <c r="D657" s="32" t="s">
        <v>1824</v>
      </c>
      <c r="E657" s="5">
        <f>IF('зведена (БАЛАНС) (2)'!E657&gt;'зведена (БАЛАНС) (2)'!F657,'зведена (БАЛАНС) (2)'!E657-'зведена (БАЛАНС) (2)'!F657,0)</f>
        <v>60255</v>
      </c>
      <c r="F657" s="5">
        <f>IF('зведена (БАЛАНС) (2)'!F657&gt;'зведена (БАЛАНС) (2)'!E657,'зведена (БАЛАНС) (2)'!F657-'зведена (БАЛАНС) (2)'!E657,0)</f>
        <v>0</v>
      </c>
    </row>
    <row r="658" spans="1:6" s="28" customFormat="1" x14ac:dyDescent="0.25">
      <c r="A658" s="38">
        <v>10</v>
      </c>
      <c r="B658" s="34" t="s">
        <v>985</v>
      </c>
      <c r="C658" s="18">
        <v>10560000000</v>
      </c>
      <c r="D658" s="32" t="s">
        <v>1825</v>
      </c>
      <c r="E658" s="5">
        <f>IF('зведена (БАЛАНС) (2)'!E658&gt;'зведена (БАЛАНС) (2)'!F658,'зведена (БАЛАНС) (2)'!E658-'зведена (БАЛАНС) (2)'!F658,0)</f>
        <v>0</v>
      </c>
      <c r="F658" s="5">
        <f>IF('зведена (БАЛАНС) (2)'!F658&gt;'зведена (БАЛАНС) (2)'!E658,'зведена (БАЛАНС) (2)'!F658-'зведена (БАЛАНС) (2)'!E658,0)</f>
        <v>0</v>
      </c>
    </row>
    <row r="659" spans="1:6" s="28" customFormat="1" x14ac:dyDescent="0.25">
      <c r="A659" s="38">
        <v>10</v>
      </c>
      <c r="B659" s="34" t="s">
        <v>983</v>
      </c>
      <c r="C659" s="18">
        <v>10561000000</v>
      </c>
      <c r="D659" s="32" t="s">
        <v>1826</v>
      </c>
      <c r="E659" s="5">
        <f>IF('зведена (БАЛАНС) (2)'!E659&gt;'зведена (БАЛАНС) (2)'!F659,'зведена (БАЛАНС) (2)'!E659-'зведена (БАЛАНС) (2)'!F659,0)</f>
        <v>0</v>
      </c>
      <c r="F659" s="5">
        <f>IF('зведена (БАЛАНС) (2)'!F659&gt;'зведена (БАЛАНС) (2)'!E659,'зведена (БАЛАНС) (2)'!F659-'зведена (БАЛАНС) (2)'!E659,0)</f>
        <v>0</v>
      </c>
    </row>
    <row r="660" spans="1:6" s="28" customFormat="1" x14ac:dyDescent="0.25">
      <c r="A660" s="38">
        <v>10</v>
      </c>
      <c r="B660" s="34" t="s">
        <v>986</v>
      </c>
      <c r="C660" s="18">
        <v>10562000000</v>
      </c>
      <c r="D660" s="32" t="s">
        <v>1827</v>
      </c>
      <c r="E660" s="5">
        <f>IF('зведена (БАЛАНС) (2)'!E660&gt;'зведена (БАЛАНС) (2)'!F660,'зведена (БАЛАНС) (2)'!E660-'зведена (БАЛАНС) (2)'!F660,0)</f>
        <v>51612.6</v>
      </c>
      <c r="F660" s="5">
        <f>IF('зведена (БАЛАНС) (2)'!F660&gt;'зведена (БАЛАНС) (2)'!E660,'зведена (БАЛАНС) (2)'!F660-'зведена (БАЛАНС) (2)'!E660,0)</f>
        <v>0</v>
      </c>
    </row>
    <row r="661" spans="1:6" s="28" customFormat="1" x14ac:dyDescent="0.25">
      <c r="A661" s="38">
        <v>10</v>
      </c>
      <c r="B661" s="34" t="s">
        <v>985</v>
      </c>
      <c r="C661" s="18">
        <v>10563000000</v>
      </c>
      <c r="D661" s="32" t="s">
        <v>1828</v>
      </c>
      <c r="E661" s="5">
        <f>IF('зведена (БАЛАНС) (2)'!E661&gt;'зведена (БАЛАНС) (2)'!F661,'зведена (БАЛАНС) (2)'!E661-'зведена (БАЛАНС) (2)'!F661,0)</f>
        <v>0</v>
      </c>
      <c r="F661" s="5">
        <f>IF('зведена (БАЛАНС) (2)'!F661&gt;'зведена (БАЛАНС) (2)'!E661,'зведена (БАЛАНС) (2)'!F661-'зведена (БАЛАНС) (2)'!E661,0)</f>
        <v>0</v>
      </c>
    </row>
    <row r="662" spans="1:6" s="28" customFormat="1" x14ac:dyDescent="0.25">
      <c r="A662" s="38">
        <v>10</v>
      </c>
      <c r="B662" s="34" t="s">
        <v>983</v>
      </c>
      <c r="C662" s="18">
        <v>10564000000</v>
      </c>
      <c r="D662" s="32" t="s">
        <v>1829</v>
      </c>
      <c r="E662" s="5">
        <f>IF('зведена (БАЛАНС) (2)'!E662&gt;'зведена (БАЛАНС) (2)'!F662,'зведена (БАЛАНС) (2)'!E662-'зведена (БАЛАНС) (2)'!F662,0)</f>
        <v>0</v>
      </c>
      <c r="F662" s="5">
        <f>IF('зведена (БАЛАНС) (2)'!F662&gt;'зведена (БАЛАНС) (2)'!E662,'зведена (БАЛАНС) (2)'!F662-'зведена (БАЛАНС) (2)'!E662,0)</f>
        <v>4051.2</v>
      </c>
    </row>
    <row r="663" spans="1:6" s="28" customFormat="1" x14ac:dyDescent="0.25">
      <c r="A663" s="38">
        <v>10</v>
      </c>
      <c r="B663" s="34" t="s">
        <v>983</v>
      </c>
      <c r="C663" s="18">
        <v>10565000000</v>
      </c>
      <c r="D663" s="32" t="s">
        <v>1830</v>
      </c>
      <c r="E663" s="5">
        <f>IF('зведена (БАЛАНС) (2)'!E663&gt;'зведена (БАЛАНС) (2)'!F663,'зведена (БАЛАНС) (2)'!E663-'зведена (БАЛАНС) (2)'!F663,0)</f>
        <v>16850.599999999999</v>
      </c>
      <c r="F663" s="5">
        <f>IF('зведена (БАЛАНС) (2)'!F663&gt;'зведена (БАЛАНС) (2)'!E663,'зведена (БАЛАНС) (2)'!F663-'зведена (БАЛАНС) (2)'!E663,0)</f>
        <v>0</v>
      </c>
    </row>
    <row r="664" spans="1:6" s="28" customFormat="1" x14ac:dyDescent="0.25">
      <c r="A664" s="38">
        <v>10</v>
      </c>
      <c r="B664" s="34" t="s">
        <v>986</v>
      </c>
      <c r="C664" s="18">
        <v>10566000000</v>
      </c>
      <c r="D664" s="32" t="s">
        <v>1831</v>
      </c>
      <c r="E664" s="5">
        <f>IF('зведена (БАЛАНС) (2)'!E664&gt;'зведена (БАЛАНС) (2)'!F664,'зведена (БАЛАНС) (2)'!E664-'зведена (БАЛАНС) (2)'!F664,0)</f>
        <v>0</v>
      </c>
      <c r="F664" s="5">
        <f>IF('зведена (БАЛАНС) (2)'!F664&gt;'зведена (БАЛАНС) (2)'!E664,'зведена (БАЛАНС) (2)'!F664-'зведена (БАЛАНС) (2)'!E664,0)</f>
        <v>0</v>
      </c>
    </row>
    <row r="665" spans="1:6" s="28" customFormat="1" x14ac:dyDescent="0.25">
      <c r="A665" s="38">
        <v>10</v>
      </c>
      <c r="B665" s="34" t="s">
        <v>984</v>
      </c>
      <c r="C665" s="18">
        <v>10567000000</v>
      </c>
      <c r="D665" s="32" t="s">
        <v>1832</v>
      </c>
      <c r="E665" s="5">
        <f>IF('зведена (БАЛАНС) (2)'!E665&gt;'зведена (БАЛАНС) (2)'!F665,'зведена (БАЛАНС) (2)'!E665-'зведена (БАЛАНС) (2)'!F665,0)</f>
        <v>1654.2</v>
      </c>
      <c r="F665" s="5">
        <f>IF('зведена (БАЛАНС) (2)'!F665&gt;'зведена (БАЛАНС) (2)'!E665,'зведена (БАЛАНС) (2)'!F665-'зведена (БАЛАНС) (2)'!E665,0)</f>
        <v>0</v>
      </c>
    </row>
    <row r="666" spans="1:6" s="28" customFormat="1" x14ac:dyDescent="0.25">
      <c r="A666" s="38">
        <v>10</v>
      </c>
      <c r="B666" s="34" t="s">
        <v>985</v>
      </c>
      <c r="C666" s="18">
        <v>10568000000</v>
      </c>
      <c r="D666" s="32" t="s">
        <v>3002</v>
      </c>
      <c r="E666" s="5">
        <f>IF('зведена (БАЛАНС) (2)'!E666&gt;'зведена (БАЛАНС) (2)'!F666,'зведена (БАЛАНС) (2)'!E666-'зведена (БАЛАНС) (2)'!F666,0)</f>
        <v>12704.5</v>
      </c>
      <c r="F666" s="5">
        <f>IF('зведена (БАЛАНС) (2)'!F666&gt;'зведена (БАЛАНС) (2)'!E666,'зведена (БАЛАНС) (2)'!F666-'зведена (БАЛАНС) (2)'!E666,0)</f>
        <v>0</v>
      </c>
    </row>
    <row r="667" spans="1:6" s="28" customFormat="1" x14ac:dyDescent="0.25">
      <c r="A667" s="38">
        <v>10</v>
      </c>
      <c r="B667" s="34" t="s">
        <v>983</v>
      </c>
      <c r="C667" s="18">
        <v>10569000000</v>
      </c>
      <c r="D667" s="32" t="s">
        <v>1834</v>
      </c>
      <c r="E667" s="5">
        <f>IF('зведена (БАЛАНС) (2)'!E667&gt;'зведена (БАЛАНС) (2)'!F667,'зведена (БАЛАНС) (2)'!E667-'зведена (БАЛАНС) (2)'!F667,0)</f>
        <v>3890.2</v>
      </c>
      <c r="F667" s="5">
        <f>IF('зведена (БАЛАНС) (2)'!F667&gt;'зведена (БАЛАНС) (2)'!E667,'зведена (БАЛАНС) (2)'!F667-'зведена (БАЛАНС) (2)'!E667,0)</f>
        <v>0</v>
      </c>
    </row>
    <row r="668" spans="1:6" s="28" customFormat="1" x14ac:dyDescent="0.25">
      <c r="A668" s="36">
        <v>11</v>
      </c>
      <c r="B668" s="17" t="s">
        <v>7</v>
      </c>
      <c r="C668" s="17" t="s">
        <v>784</v>
      </c>
      <c r="D668" s="11" t="s">
        <v>15</v>
      </c>
      <c r="E668" s="11">
        <f>E669+E670+E675</f>
        <v>160543</v>
      </c>
      <c r="F668" s="11">
        <f>F669+F670+F675</f>
        <v>255762.50000000003</v>
      </c>
    </row>
    <row r="669" spans="1:6" s="28" customFormat="1" x14ac:dyDescent="0.25">
      <c r="A669" s="38">
        <v>11</v>
      </c>
      <c r="B669" s="34" t="s">
        <v>6</v>
      </c>
      <c r="C669" s="18" t="s">
        <v>110</v>
      </c>
      <c r="D669" s="32" t="s">
        <v>848</v>
      </c>
      <c r="E669" s="5">
        <f>IF('зведена (БАЛАНС) (2)'!E669&gt;'зведена (БАЛАНС) (2)'!F669,'зведена (БАЛАНС) (2)'!E669-'зведена (БАЛАНС) (2)'!F669,0)</f>
        <v>0</v>
      </c>
      <c r="F669" s="5">
        <f>IF('зведена (БАЛАНС) (2)'!F669&gt;'зведена (БАЛАНС) (2)'!E669,'зведена (БАЛАНС) (2)'!F669-'зведена (БАЛАНС) (2)'!E669,0)</f>
        <v>40452.6</v>
      </c>
    </row>
    <row r="670" spans="1:6" s="28" customFormat="1" x14ac:dyDescent="0.25">
      <c r="A670" s="37">
        <v>11</v>
      </c>
      <c r="B670" s="19" t="s">
        <v>5</v>
      </c>
      <c r="C670" s="19" t="s">
        <v>785</v>
      </c>
      <c r="D670" s="7" t="s">
        <v>2803</v>
      </c>
      <c r="E670" s="7">
        <f>SUM(E671:E674)</f>
        <v>0</v>
      </c>
      <c r="F670" s="7">
        <f>SUM(F671:F674)</f>
        <v>0</v>
      </c>
    </row>
    <row r="671" spans="1:6" s="28" customFormat="1" x14ac:dyDescent="0.25">
      <c r="A671" s="38">
        <v>11</v>
      </c>
      <c r="B671" s="34" t="s">
        <v>4</v>
      </c>
      <c r="C671" s="18" t="s">
        <v>111</v>
      </c>
      <c r="D671" s="32" t="s">
        <v>919</v>
      </c>
      <c r="E671" s="5">
        <f>IF('зведена (БАЛАНС) (2)'!E671&gt;'зведена (БАЛАНС) (2)'!F671,'зведена (БАЛАНС) (2)'!E671-'зведена (БАЛАНС) (2)'!F671,0)</f>
        <v>0</v>
      </c>
      <c r="F671" s="5">
        <f>IF('зведена (БАЛАНС) (2)'!F671&gt;'зведена (БАЛАНС) (2)'!E671,'зведена (БАЛАНС) (2)'!F671-'зведена (БАЛАНС) (2)'!E671,0)</f>
        <v>0</v>
      </c>
    </row>
    <row r="672" spans="1:6" s="28" customFormat="1" x14ac:dyDescent="0.25">
      <c r="A672" s="38">
        <v>11</v>
      </c>
      <c r="B672" s="34" t="s">
        <v>4</v>
      </c>
      <c r="C672" s="18" t="s">
        <v>112</v>
      </c>
      <c r="D672" s="32" t="s">
        <v>3003</v>
      </c>
      <c r="E672" s="5">
        <f>IF('зведена (БАЛАНС) (2)'!E672&gt;'зведена (БАЛАНС) (2)'!F672,'зведена (БАЛАНС) (2)'!E672-'зведена (БАЛАНС) (2)'!F672,0)</f>
        <v>0</v>
      </c>
      <c r="F672" s="5">
        <f>IF('зведена (БАЛАНС) (2)'!F672&gt;'зведена (БАЛАНС) (2)'!E672,'зведена (БАЛАНС) (2)'!F672-'зведена (БАЛАНС) (2)'!E672,0)</f>
        <v>0</v>
      </c>
    </row>
    <row r="673" spans="1:6" s="28" customFormat="1" x14ac:dyDescent="0.25">
      <c r="A673" s="38">
        <v>11</v>
      </c>
      <c r="B673" s="34" t="s">
        <v>4</v>
      </c>
      <c r="C673" s="18" t="s">
        <v>113</v>
      </c>
      <c r="D673" s="32" t="s">
        <v>3004</v>
      </c>
      <c r="E673" s="5">
        <f>IF('зведена (БАЛАНС) (2)'!E673&gt;'зведена (БАЛАНС) (2)'!F673,'зведена (БАЛАНС) (2)'!E673-'зведена (БАЛАНС) (2)'!F673,0)</f>
        <v>0</v>
      </c>
      <c r="F673" s="5">
        <f>IF('зведена (БАЛАНС) (2)'!F673&gt;'зведена (БАЛАНС) (2)'!E673,'зведена (БАЛАНС) (2)'!F673-'зведена (БАЛАНС) (2)'!E673,0)</f>
        <v>0</v>
      </c>
    </row>
    <row r="674" spans="1:6" s="28" customFormat="1" x14ac:dyDescent="0.25">
      <c r="A674" s="38">
        <v>11</v>
      </c>
      <c r="B674" s="34" t="s">
        <v>4</v>
      </c>
      <c r="C674" s="18" t="s">
        <v>114</v>
      </c>
      <c r="D674" s="32" t="s">
        <v>921</v>
      </c>
      <c r="E674" s="5">
        <f>IF('зведена (БАЛАНС) (2)'!E674&gt;'зведена (БАЛАНС) (2)'!F674,'зведена (БАЛАНС) (2)'!E674-'зведена (БАЛАНС) (2)'!F674,0)</f>
        <v>0</v>
      </c>
      <c r="F674" s="5">
        <f>IF('зведена (БАЛАНС) (2)'!F674&gt;'зведена (БАЛАНС) (2)'!E674,'зведена (БАЛАНС) (2)'!F674-'зведена (БАЛАНС) (2)'!E674,0)</f>
        <v>0</v>
      </c>
    </row>
    <row r="675" spans="1:6" s="28" customFormat="1" x14ac:dyDescent="0.25">
      <c r="A675" s="37">
        <v>11</v>
      </c>
      <c r="B675" s="19" t="s">
        <v>28</v>
      </c>
      <c r="C675" s="19" t="s">
        <v>786</v>
      </c>
      <c r="D675" s="20" t="s">
        <v>2777</v>
      </c>
      <c r="E675" s="7">
        <f>SUM(E676:E724)</f>
        <v>160543</v>
      </c>
      <c r="F675" s="7">
        <f>SUM(F676:F724)</f>
        <v>215309.90000000002</v>
      </c>
    </row>
    <row r="676" spans="1:6" s="28" customFormat="1" x14ac:dyDescent="0.25">
      <c r="A676" s="38">
        <v>11</v>
      </c>
      <c r="B676" s="34" t="s">
        <v>983</v>
      </c>
      <c r="C676" s="18" t="s">
        <v>115</v>
      </c>
      <c r="D676" s="32" t="s">
        <v>1835</v>
      </c>
      <c r="E676" s="5">
        <f>IF('зведена (БАЛАНС) (2)'!E676&gt;'зведена (БАЛАНС) (2)'!F676,'зведена (БАЛАНС) (2)'!E676-'зведена (БАЛАНС) (2)'!F676,0)</f>
        <v>0</v>
      </c>
      <c r="F676" s="5">
        <f>IF('зведена (БАЛАНС) (2)'!F676&gt;'зведена (БАЛАНС) (2)'!E676,'зведена (БАЛАНС) (2)'!F676-'зведена (БАЛАНС) (2)'!E676,0)</f>
        <v>6529.4</v>
      </c>
    </row>
    <row r="677" spans="1:6" s="28" customFormat="1" x14ac:dyDescent="0.25">
      <c r="A677" s="38">
        <v>11</v>
      </c>
      <c r="B677" s="34" t="s">
        <v>983</v>
      </c>
      <c r="C677" s="18" t="s">
        <v>233</v>
      </c>
      <c r="D677" s="32" t="s">
        <v>1836</v>
      </c>
      <c r="E677" s="5">
        <f>IF('зведена (БАЛАНС) (2)'!E677&gt;'зведена (БАЛАНС) (2)'!F677,'зведена (БАЛАНС) (2)'!E677-'зведена (БАЛАНС) (2)'!F677,0)</f>
        <v>0</v>
      </c>
      <c r="F677" s="5">
        <f>IF('зведена (БАЛАНС) (2)'!F677&gt;'зведена (БАЛАНС) (2)'!E677,'зведена (БАЛАНС) (2)'!F677-'зведена (БАЛАНС) (2)'!E677,0)</f>
        <v>0</v>
      </c>
    </row>
    <row r="678" spans="1:6" s="28" customFormat="1" x14ac:dyDescent="0.25">
      <c r="A678" s="38">
        <v>11</v>
      </c>
      <c r="B678" s="34" t="s">
        <v>983</v>
      </c>
      <c r="C678" s="18" t="s">
        <v>285</v>
      </c>
      <c r="D678" s="32" t="s">
        <v>1837</v>
      </c>
      <c r="E678" s="5">
        <f>IF('зведена (БАЛАНС) (2)'!E678&gt;'зведена (БАЛАНС) (2)'!F678,'зведена (БАЛАНС) (2)'!E678-'зведена (БАЛАНС) (2)'!F678,0)</f>
        <v>0</v>
      </c>
      <c r="F678" s="5">
        <f>IF('зведена (БАЛАНС) (2)'!F678&gt;'зведена (БАЛАНС) (2)'!E678,'зведена (БАЛАНС) (2)'!F678-'зведена (БАЛАНС) (2)'!E678,0)</f>
        <v>745.4</v>
      </c>
    </row>
    <row r="679" spans="1:6" s="28" customFormat="1" x14ac:dyDescent="0.25">
      <c r="A679" s="38">
        <v>11</v>
      </c>
      <c r="B679" s="34" t="s">
        <v>984</v>
      </c>
      <c r="C679" s="18" t="s">
        <v>376</v>
      </c>
      <c r="D679" s="32" t="s">
        <v>1838</v>
      </c>
      <c r="E679" s="5">
        <f>IF('зведена (БАЛАНС) (2)'!E679&gt;'зведена (БАЛАНС) (2)'!F679,'зведена (БАЛАНС) (2)'!E679-'зведена (БАЛАНС) (2)'!F679,0)</f>
        <v>0</v>
      </c>
      <c r="F679" s="5">
        <f>IF('зведена (БАЛАНС) (2)'!F679&gt;'зведена (БАЛАНС) (2)'!E679,'зведена (БАЛАНС) (2)'!F679-'зведена (БАЛАНС) (2)'!E679,0)</f>
        <v>4607.5</v>
      </c>
    </row>
    <row r="680" spans="1:6" s="28" customFormat="1" x14ac:dyDescent="0.25">
      <c r="A680" s="38">
        <v>11</v>
      </c>
      <c r="B680" s="34" t="s">
        <v>984</v>
      </c>
      <c r="C680" s="18" t="s">
        <v>377</v>
      </c>
      <c r="D680" s="32" t="s">
        <v>1839</v>
      </c>
      <c r="E680" s="5">
        <f>IF('зведена (БАЛАНС) (2)'!E680&gt;'зведена (БАЛАНС) (2)'!F680,'зведена (БАЛАНС) (2)'!E680-'зведена (БАЛАНС) (2)'!F680,0)</f>
        <v>2439.3000000000002</v>
      </c>
      <c r="F680" s="5">
        <f>IF('зведена (БАЛАНС) (2)'!F680&gt;'зведена (БАЛАНС) (2)'!E680,'зведена (БАЛАНС) (2)'!F680-'зведена (БАЛАНС) (2)'!E680,0)</f>
        <v>0</v>
      </c>
    </row>
    <row r="681" spans="1:6" s="28" customFormat="1" x14ac:dyDescent="0.25">
      <c r="A681" s="38">
        <v>11</v>
      </c>
      <c r="B681" s="34" t="s">
        <v>984</v>
      </c>
      <c r="C681" s="18" t="s">
        <v>485</v>
      </c>
      <c r="D681" s="32" t="s">
        <v>1840</v>
      </c>
      <c r="E681" s="5">
        <f>IF('зведена (БАЛАНС) (2)'!E681&gt;'зведена (БАЛАНС) (2)'!F681,'зведена (БАЛАНС) (2)'!E681-'зведена (БАЛАНС) (2)'!F681,0)</f>
        <v>366.6</v>
      </c>
      <c r="F681" s="5">
        <f>IF('зведена (БАЛАНС) (2)'!F681&gt;'зведена (БАЛАНС) (2)'!E681,'зведена (БАЛАНС) (2)'!F681-'зведена (БАЛАНС) (2)'!E681,0)</f>
        <v>0</v>
      </c>
    </row>
    <row r="682" spans="1:6" s="28" customFormat="1" x14ac:dyDescent="0.25">
      <c r="A682" s="38">
        <v>11</v>
      </c>
      <c r="B682" s="34" t="s">
        <v>984</v>
      </c>
      <c r="C682" s="18" t="s">
        <v>486</v>
      </c>
      <c r="D682" s="32" t="s">
        <v>1841</v>
      </c>
      <c r="E682" s="5">
        <f>IF('зведена (БАЛАНС) (2)'!E682&gt;'зведена (БАЛАНС) (2)'!F682,'зведена (БАЛАНС) (2)'!E682-'зведена (БАЛАНС) (2)'!F682,0)</f>
        <v>0</v>
      </c>
      <c r="F682" s="5">
        <f>IF('зведена (БАЛАНС) (2)'!F682&gt;'зведена (БАЛАНС) (2)'!E682,'зведена (БАЛАНС) (2)'!F682-'зведена (БАЛАНС) (2)'!E682,0)</f>
        <v>0</v>
      </c>
    </row>
    <row r="683" spans="1:6" s="28" customFormat="1" x14ac:dyDescent="0.25">
      <c r="A683" s="38">
        <v>11</v>
      </c>
      <c r="B683" s="34" t="s">
        <v>984</v>
      </c>
      <c r="C683" s="18" t="s">
        <v>572</v>
      </c>
      <c r="D683" s="32" t="s">
        <v>1842</v>
      </c>
      <c r="E683" s="5">
        <f>IF('зведена (БАЛАНС) (2)'!E683&gt;'зведена (БАЛАНС) (2)'!F683,'зведена (БАЛАНС) (2)'!E683-'зведена (БАЛАНС) (2)'!F683,0)</f>
        <v>0</v>
      </c>
      <c r="F683" s="5">
        <f>IF('зведена (БАЛАНС) (2)'!F683&gt;'зведена (БАЛАНС) (2)'!E683,'зведена (БАЛАНС) (2)'!F683-'зведена (БАЛАНС) (2)'!E683,0)</f>
        <v>0</v>
      </c>
    </row>
    <row r="684" spans="1:6" s="28" customFormat="1" x14ac:dyDescent="0.25">
      <c r="A684" s="38">
        <v>11</v>
      </c>
      <c r="B684" s="34" t="s">
        <v>984</v>
      </c>
      <c r="C684" s="18" t="s">
        <v>573</v>
      </c>
      <c r="D684" s="32" t="s">
        <v>1843</v>
      </c>
      <c r="E684" s="5">
        <f>IF('зведена (БАЛАНС) (2)'!E684&gt;'зведена (БАЛАНС) (2)'!F684,'зведена (БАЛАНС) (2)'!E684-'зведена (БАЛАНС) (2)'!F684,0)</f>
        <v>0</v>
      </c>
      <c r="F684" s="5">
        <f>IF('зведена (БАЛАНС) (2)'!F684&gt;'зведена (БАЛАНС) (2)'!E684,'зведена (БАЛАНС) (2)'!F684-'зведена (БАЛАНС) (2)'!E684,0)</f>
        <v>0</v>
      </c>
    </row>
    <row r="685" spans="1:6" s="28" customFormat="1" x14ac:dyDescent="0.25">
      <c r="A685" s="38">
        <v>11</v>
      </c>
      <c r="B685" s="34" t="s">
        <v>984</v>
      </c>
      <c r="C685" s="18" t="s">
        <v>574</v>
      </c>
      <c r="D685" s="32" t="s">
        <v>3005</v>
      </c>
      <c r="E685" s="5">
        <f>IF('зведена (БАЛАНС) (2)'!E685&gt;'зведена (БАЛАНС) (2)'!F685,'зведена (БАЛАНС) (2)'!E685-'зведена (БАЛАНС) (2)'!F685,0)</f>
        <v>7011.5</v>
      </c>
      <c r="F685" s="5">
        <f>IF('зведена (БАЛАНС) (2)'!F685&gt;'зведена (БАЛАНС) (2)'!E685,'зведена (БАЛАНС) (2)'!F685-'зведена (БАЛАНС) (2)'!E685,0)</f>
        <v>0</v>
      </c>
    </row>
    <row r="686" spans="1:6" s="28" customFormat="1" x14ac:dyDescent="0.25">
      <c r="A686" s="38">
        <v>11</v>
      </c>
      <c r="B686" s="34" t="s">
        <v>985</v>
      </c>
      <c r="C686" s="18" t="s">
        <v>575</v>
      </c>
      <c r="D686" s="32" t="s">
        <v>3006</v>
      </c>
      <c r="E686" s="5">
        <f>IF('зведена (БАЛАНС) (2)'!E686&gt;'зведена (БАЛАНС) (2)'!F686,'зведена (БАЛАНС) (2)'!E686-'зведена (БАЛАНС) (2)'!F686,0)</f>
        <v>0</v>
      </c>
      <c r="F686" s="5">
        <f>IF('зведена (БАЛАНС) (2)'!F686&gt;'зведена (БАЛАНС) (2)'!E686,'зведена (БАЛАНС) (2)'!F686-'зведена (БАЛАНС) (2)'!E686,0)</f>
        <v>0</v>
      </c>
    </row>
    <row r="687" spans="1:6" s="28" customFormat="1" x14ac:dyDescent="0.25">
      <c r="A687" s="38">
        <v>11</v>
      </c>
      <c r="B687" s="34" t="s">
        <v>985</v>
      </c>
      <c r="C687" s="18" t="s">
        <v>576</v>
      </c>
      <c r="D687" s="32" t="s">
        <v>1846</v>
      </c>
      <c r="E687" s="5">
        <f>IF('зведена (БАЛАНС) (2)'!E687&gt;'зведена (БАЛАНС) (2)'!F687,'зведена (БАЛАНС) (2)'!E687-'зведена (БАЛАНС) (2)'!F687,0)</f>
        <v>0</v>
      </c>
      <c r="F687" s="5">
        <f>IF('зведена (БАЛАНС) (2)'!F687&gt;'зведена (БАЛАНС) (2)'!E687,'зведена (БАЛАНС) (2)'!F687-'зведена (БАЛАНС) (2)'!E687,0)</f>
        <v>0</v>
      </c>
    </row>
    <row r="688" spans="1:6" s="27" customFormat="1" x14ac:dyDescent="0.25">
      <c r="A688" s="38">
        <v>11</v>
      </c>
      <c r="B688" s="34" t="s">
        <v>983</v>
      </c>
      <c r="C688" s="18" t="s">
        <v>577</v>
      </c>
      <c r="D688" s="32" t="s">
        <v>1847</v>
      </c>
      <c r="E688" s="5">
        <f>IF('зведена (БАЛАНС) (2)'!E688&gt;'зведена (БАЛАНС) (2)'!F688,'зведена (БАЛАНС) (2)'!E688-'зведена (БАЛАНС) (2)'!F688,0)</f>
        <v>8033</v>
      </c>
      <c r="F688" s="5">
        <f>IF('зведена (БАЛАНС) (2)'!F688&gt;'зведена (БАЛАНС) (2)'!E688,'зведена (БАЛАНС) (2)'!F688-'зведена (БАЛАНС) (2)'!E688,0)</f>
        <v>0</v>
      </c>
    </row>
    <row r="689" spans="1:6" x14ac:dyDescent="0.25">
      <c r="A689" s="38">
        <v>11</v>
      </c>
      <c r="B689" s="34" t="s">
        <v>984</v>
      </c>
      <c r="C689" s="30" t="s">
        <v>739</v>
      </c>
      <c r="D689" s="32" t="s">
        <v>1809</v>
      </c>
      <c r="E689" s="5">
        <f>IF('зведена (БАЛАНС) (2)'!E689&gt;'зведена (БАЛАНС) (2)'!F689,'зведена (БАЛАНС) (2)'!E689-'зведена (БАЛАНС) (2)'!F689,0)</f>
        <v>0</v>
      </c>
      <c r="F689" s="5">
        <f>IF('зведена (БАЛАНС) (2)'!F689&gt;'зведена (БАЛАНС) (2)'!E689,'зведена (БАЛАНС) (2)'!F689-'зведена (БАЛАНС) (2)'!E689,0)</f>
        <v>1706</v>
      </c>
    </row>
    <row r="690" spans="1:6" x14ac:dyDescent="0.25">
      <c r="A690" s="38">
        <v>11</v>
      </c>
      <c r="B690" s="34" t="s">
        <v>985</v>
      </c>
      <c r="C690" s="30" t="s">
        <v>740</v>
      </c>
      <c r="D690" s="32" t="s">
        <v>1849</v>
      </c>
      <c r="E690" s="5">
        <f>IF('зведена (БАЛАНС) (2)'!E690&gt;'зведена (БАЛАНС) (2)'!F690,'зведена (БАЛАНС) (2)'!E690-'зведена (БАЛАНС) (2)'!F690,0)</f>
        <v>0</v>
      </c>
      <c r="F690" s="5">
        <f>IF('зведена (БАЛАНС) (2)'!F690&gt;'зведена (БАЛАНС) (2)'!E690,'зведена (БАЛАНС) (2)'!F690-'зведена (БАЛАНС) (2)'!E690,0)</f>
        <v>4492.8</v>
      </c>
    </row>
    <row r="691" spans="1:6" x14ac:dyDescent="0.25">
      <c r="A691" s="38">
        <v>11</v>
      </c>
      <c r="B691" s="34" t="s">
        <v>985</v>
      </c>
      <c r="C691" s="30" t="s">
        <v>836</v>
      </c>
      <c r="D691" s="32" t="s">
        <v>1850</v>
      </c>
      <c r="E691" s="5">
        <f>IF('зведена (БАЛАНС) (2)'!E691&gt;'зведена (БАЛАНС) (2)'!F691,'зведена (БАЛАНС) (2)'!E691-'зведена (БАЛАНС) (2)'!F691,0)</f>
        <v>0</v>
      </c>
      <c r="F691" s="5">
        <f>IF('зведена (БАЛАНС) (2)'!F691&gt;'зведена (БАЛАНС) (2)'!E691,'зведена (БАЛАНС) (2)'!F691-'зведена (БАЛАНС) (2)'!E691,0)</f>
        <v>139.30000000000001</v>
      </c>
    </row>
    <row r="692" spans="1:6" x14ac:dyDescent="0.25">
      <c r="A692" s="38">
        <v>11</v>
      </c>
      <c r="B692" s="34" t="s">
        <v>985</v>
      </c>
      <c r="C692" s="30" t="s">
        <v>877</v>
      </c>
      <c r="D692" s="32" t="s">
        <v>1851</v>
      </c>
      <c r="E692" s="5">
        <f>IF('зведена (БАЛАНС) (2)'!E692&gt;'зведена (БАЛАНС) (2)'!F692,'зведена (БАЛАНС) (2)'!E692-'зведена (БАЛАНС) (2)'!F692,0)</f>
        <v>0</v>
      </c>
      <c r="F692" s="5">
        <f>IF('зведена (БАЛАНС) (2)'!F692&gt;'зведена (БАЛАНС) (2)'!E692,'зведена (БАЛАНС) (2)'!F692-'зведена (БАЛАНС) (2)'!E692,0)</f>
        <v>0</v>
      </c>
    </row>
    <row r="693" spans="1:6" x14ac:dyDescent="0.25">
      <c r="A693" s="38">
        <v>11</v>
      </c>
      <c r="B693" s="34" t="s">
        <v>984</v>
      </c>
      <c r="C693" s="30" t="s">
        <v>878</v>
      </c>
      <c r="D693" s="32" t="s">
        <v>1852</v>
      </c>
      <c r="E693" s="5">
        <f>IF('зведена (БАЛАНС) (2)'!E693&gt;'зведена (БАЛАНС) (2)'!F693,'зведена (БАЛАНС) (2)'!E693-'зведена (БАЛАНС) (2)'!F693,0)</f>
        <v>2721.4</v>
      </c>
      <c r="F693" s="5">
        <f>IF('зведена (БАЛАНС) (2)'!F693&gt;'зведена (БАЛАНС) (2)'!E693,'зведена (БАЛАНС) (2)'!F693-'зведена (БАЛАНС) (2)'!E693,0)</f>
        <v>0</v>
      </c>
    </row>
    <row r="694" spans="1:6" x14ac:dyDescent="0.25">
      <c r="A694" s="38">
        <v>11</v>
      </c>
      <c r="B694" s="34" t="s">
        <v>984</v>
      </c>
      <c r="C694" s="30" t="s">
        <v>879</v>
      </c>
      <c r="D694" s="32" t="s">
        <v>1853</v>
      </c>
      <c r="E694" s="5">
        <f>IF('зведена (БАЛАНС) (2)'!E694&gt;'зведена (БАЛАНС) (2)'!F694,'зведена (БАЛАНС) (2)'!E694-'зведена (БАЛАНС) (2)'!F694,0)</f>
        <v>0</v>
      </c>
      <c r="F694" s="5">
        <f>IF('зведена (БАЛАНС) (2)'!F694&gt;'зведена (БАЛАНС) (2)'!E694,'зведена (БАЛАНС) (2)'!F694-'зведена (БАЛАНС) (2)'!E694,0)</f>
        <v>0</v>
      </c>
    </row>
    <row r="695" spans="1:6" x14ac:dyDescent="0.25">
      <c r="A695" s="38">
        <v>11</v>
      </c>
      <c r="B695" s="34" t="s">
        <v>984</v>
      </c>
      <c r="C695" s="30" t="s">
        <v>880</v>
      </c>
      <c r="D695" s="32" t="s">
        <v>2753</v>
      </c>
      <c r="E695" s="5">
        <f>IF('зведена (БАЛАНС) (2)'!E695&gt;'зведена (БАЛАНС) (2)'!F695,'зведена (БАЛАНС) (2)'!E695-'зведена (БАЛАНС) (2)'!F695,0)</f>
        <v>523.4</v>
      </c>
      <c r="F695" s="5">
        <f>IF('зведена (БАЛАНС) (2)'!F695&gt;'зведена (БАЛАНС) (2)'!E695,'зведена (БАЛАНС) (2)'!F695-'зведена (БАЛАНС) (2)'!E695,0)</f>
        <v>0</v>
      </c>
    </row>
    <row r="696" spans="1:6" x14ac:dyDescent="0.25">
      <c r="A696" s="38">
        <v>11</v>
      </c>
      <c r="B696" s="34" t="s">
        <v>985</v>
      </c>
      <c r="C696" s="30" t="s">
        <v>1025</v>
      </c>
      <c r="D696" s="32" t="s">
        <v>3007</v>
      </c>
      <c r="E696" s="5">
        <f>IF('зведена (БАЛАНС) (2)'!E696&gt;'зведена (БАЛАНС) (2)'!F696,'зведена (БАЛАНС) (2)'!E696-'зведена (БАЛАНС) (2)'!F696,0)</f>
        <v>6929.6</v>
      </c>
      <c r="F696" s="5">
        <f>IF('зведена (БАЛАНС) (2)'!F696&gt;'зведена (БАЛАНС) (2)'!E696,'зведена (БАЛАНС) (2)'!F696-'зведена (БАЛАНС) (2)'!E696,0)</f>
        <v>0</v>
      </c>
    </row>
    <row r="697" spans="1:6" x14ac:dyDescent="0.25">
      <c r="A697" s="38">
        <v>11</v>
      </c>
      <c r="B697" s="34" t="s">
        <v>984</v>
      </c>
      <c r="C697" s="30" t="s">
        <v>1051</v>
      </c>
      <c r="D697" s="32" t="s">
        <v>3008</v>
      </c>
      <c r="E697" s="5">
        <f>IF('зведена (БАЛАНС) (2)'!E697&gt;'зведена (БАЛАНС) (2)'!F697,'зведена (БАЛАНС) (2)'!E697-'зведена (БАЛАНС) (2)'!F697,0)</f>
        <v>0</v>
      </c>
      <c r="F697" s="5">
        <f>IF('зведена (БАЛАНС) (2)'!F697&gt;'зведена (БАЛАНС) (2)'!E697,'зведена (БАЛАНС) (2)'!F697-'зведена (БАЛАНС) (2)'!E697,0)</f>
        <v>305.10000000000002</v>
      </c>
    </row>
    <row r="698" spans="1:6" x14ac:dyDescent="0.25">
      <c r="A698" s="38">
        <v>11</v>
      </c>
      <c r="B698" s="34" t="s">
        <v>984</v>
      </c>
      <c r="C698" s="30" t="s">
        <v>1052</v>
      </c>
      <c r="D698" s="32" t="s">
        <v>3009</v>
      </c>
      <c r="E698" s="5">
        <f>IF('зведена (БАЛАНС) (2)'!E698&gt;'зведена (БАЛАНС) (2)'!F698,'зведена (БАЛАНС) (2)'!E698-'зведена (БАЛАНС) (2)'!F698,0)</f>
        <v>0</v>
      </c>
      <c r="F698" s="5">
        <f>IF('зведена (БАЛАНС) (2)'!F698&gt;'зведена (БАЛАНС) (2)'!E698,'зведена (БАЛАНС) (2)'!F698-'зведена (БАЛАНС) (2)'!E698,0)</f>
        <v>0</v>
      </c>
    </row>
    <row r="699" spans="1:6" x14ac:dyDescent="0.25">
      <c r="A699" s="38">
        <v>11</v>
      </c>
      <c r="B699" s="34" t="s">
        <v>984</v>
      </c>
      <c r="C699" s="30" t="s">
        <v>1053</v>
      </c>
      <c r="D699" s="32" t="s">
        <v>3010</v>
      </c>
      <c r="E699" s="5">
        <f>IF('зведена (БАЛАНС) (2)'!E699&gt;'зведена (БАЛАНС) (2)'!F699,'зведена (БАЛАНС) (2)'!E699-'зведена (БАЛАНС) (2)'!F699,0)</f>
        <v>0</v>
      </c>
      <c r="F699" s="5">
        <f>IF('зведена (БАЛАНС) (2)'!F699&gt;'зведена (БАЛАНС) (2)'!E699,'зведена (БАЛАНС) (2)'!F699-'зведена (БАЛАНС) (2)'!E699,0)</f>
        <v>4139.8999999999996</v>
      </c>
    </row>
    <row r="700" spans="1:6" x14ac:dyDescent="0.25">
      <c r="A700" s="38">
        <v>11</v>
      </c>
      <c r="B700" s="34" t="s">
        <v>986</v>
      </c>
      <c r="C700" s="30" t="s">
        <v>1061</v>
      </c>
      <c r="D700" s="32" t="s">
        <v>1858</v>
      </c>
      <c r="E700" s="5">
        <f>IF('зведена (БАЛАНС) (2)'!E700&gt;'зведена (БАЛАНС) (2)'!F700,'зведена (БАЛАНС) (2)'!E700-'зведена (БАЛАНС) (2)'!F700,0)</f>
        <v>97635.3</v>
      </c>
      <c r="F700" s="5">
        <f>IF('зведена (БАЛАНС) (2)'!F700&gt;'зведена (БАЛАНС) (2)'!E700,'зведена (БАЛАНС) (2)'!F700-'зведена (БАЛАНС) (2)'!E700,0)</f>
        <v>0</v>
      </c>
    </row>
    <row r="701" spans="1:6" x14ac:dyDescent="0.25">
      <c r="A701" s="38">
        <v>11</v>
      </c>
      <c r="B701" s="34" t="s">
        <v>984</v>
      </c>
      <c r="C701" s="30" t="s">
        <v>1859</v>
      </c>
      <c r="D701" s="32" t="s">
        <v>1860</v>
      </c>
      <c r="E701" s="5">
        <f>IF('зведена (БАЛАНС) (2)'!E701&gt;'зведена (БАЛАНС) (2)'!F701,'зведена (БАЛАНС) (2)'!E701-'зведена (БАЛАНС) (2)'!F701,0)</f>
        <v>0</v>
      </c>
      <c r="F701" s="5">
        <f>IF('зведена (БАЛАНС) (2)'!F701&gt;'зведена (БАЛАНС) (2)'!E701,'зведена (БАЛАНС) (2)'!F701-'зведена (БАЛАНС) (2)'!E701,0)</f>
        <v>0</v>
      </c>
    </row>
    <row r="702" spans="1:6" x14ac:dyDescent="0.25">
      <c r="A702" s="38">
        <v>11</v>
      </c>
      <c r="B702" s="34" t="s">
        <v>983</v>
      </c>
      <c r="C702" s="30" t="s">
        <v>1861</v>
      </c>
      <c r="D702" s="32" t="s">
        <v>1862</v>
      </c>
      <c r="E702" s="5">
        <f>IF('зведена (БАЛАНС) (2)'!E702&gt;'зведена (БАЛАНС) (2)'!F702,'зведена (БАЛАНС) (2)'!E702-'зведена (БАЛАНС) (2)'!F702,0)</f>
        <v>0</v>
      </c>
      <c r="F702" s="5">
        <f>IF('зведена (БАЛАНС) (2)'!F702&gt;'зведена (БАЛАНС) (2)'!E702,'зведена (БАЛАНС) (2)'!F702-'зведена (БАЛАНС) (2)'!E702,0)</f>
        <v>16192.7</v>
      </c>
    </row>
    <row r="703" spans="1:6" x14ac:dyDescent="0.25">
      <c r="A703" s="38">
        <v>11</v>
      </c>
      <c r="B703" s="34" t="s">
        <v>985</v>
      </c>
      <c r="C703" s="30" t="s">
        <v>1863</v>
      </c>
      <c r="D703" s="32" t="s">
        <v>1864</v>
      </c>
      <c r="E703" s="5">
        <f>IF('зведена (БАЛАНС) (2)'!E703&gt;'зведена (БАЛАНС) (2)'!F703,'зведена (БАЛАНС) (2)'!E703-'зведена (БАЛАНС) (2)'!F703,0)</f>
        <v>0</v>
      </c>
      <c r="F703" s="5">
        <f>IF('зведена (БАЛАНС) (2)'!F703&gt;'зведена (БАЛАНС) (2)'!E703,'зведена (БАЛАНС) (2)'!F703-'зведена (БАЛАНС) (2)'!E703,0)</f>
        <v>7303.5</v>
      </c>
    </row>
    <row r="704" spans="1:6" x14ac:dyDescent="0.25">
      <c r="A704" s="38">
        <v>11</v>
      </c>
      <c r="B704" s="34" t="s">
        <v>983</v>
      </c>
      <c r="C704" s="30" t="s">
        <v>1865</v>
      </c>
      <c r="D704" s="32" t="s">
        <v>1866</v>
      </c>
      <c r="E704" s="5">
        <f>IF('зведена (БАЛАНС) (2)'!E704&gt;'зведена (БАЛАНС) (2)'!F704,'зведена (БАЛАНС) (2)'!E704-'зведена (БАЛАНС) (2)'!F704,0)</f>
        <v>0</v>
      </c>
      <c r="F704" s="5">
        <f>IF('зведена (БАЛАНС) (2)'!F704&gt;'зведена (БАЛАНС) (2)'!E704,'зведена (БАЛАНС) (2)'!F704-'зведена (БАЛАНС) (2)'!E704,0)</f>
        <v>18814.900000000001</v>
      </c>
    </row>
    <row r="705" spans="1:6" x14ac:dyDescent="0.25">
      <c r="A705" s="38">
        <v>11</v>
      </c>
      <c r="B705" s="34" t="s">
        <v>985</v>
      </c>
      <c r="C705" s="30" t="s">
        <v>1867</v>
      </c>
      <c r="D705" s="32" t="s">
        <v>1868</v>
      </c>
      <c r="E705" s="5">
        <f>IF('зведена (БАЛАНС) (2)'!E705&gt;'зведена (БАЛАНС) (2)'!F705,'зведена (БАЛАНС) (2)'!E705-'зведена (БАЛАНС) (2)'!F705,0)</f>
        <v>0</v>
      </c>
      <c r="F705" s="5">
        <f>IF('зведена (БАЛАНС) (2)'!F705&gt;'зведена (БАЛАНС) (2)'!E705,'зведена (БАЛАНС) (2)'!F705-'зведена (БАЛАНС) (2)'!E705,0)</f>
        <v>0</v>
      </c>
    </row>
    <row r="706" spans="1:6" x14ac:dyDescent="0.25">
      <c r="A706" s="38">
        <v>11</v>
      </c>
      <c r="B706" s="34" t="s">
        <v>983</v>
      </c>
      <c r="C706" s="30" t="s">
        <v>1869</v>
      </c>
      <c r="D706" s="32" t="s">
        <v>1870</v>
      </c>
      <c r="E706" s="5">
        <f>IF('зведена (БАЛАНС) (2)'!E706&gt;'зведена (БАЛАНС) (2)'!F706,'зведена (БАЛАНС) (2)'!E706-'зведена (БАЛАНС) (2)'!F706,0)</f>
        <v>0</v>
      </c>
      <c r="F706" s="5">
        <f>IF('зведена (БАЛАНС) (2)'!F706&gt;'зведена (БАЛАНС) (2)'!E706,'зведена (БАЛАНС) (2)'!F706-'зведена (БАЛАНС) (2)'!E706,0)</f>
        <v>10702.5</v>
      </c>
    </row>
    <row r="707" spans="1:6" x14ac:dyDescent="0.25">
      <c r="A707" s="38">
        <v>11</v>
      </c>
      <c r="B707" s="34" t="s">
        <v>985</v>
      </c>
      <c r="C707" s="30" t="s">
        <v>1871</v>
      </c>
      <c r="D707" s="32" t="s">
        <v>1872</v>
      </c>
      <c r="E707" s="5">
        <f>IF('зведена (БАЛАНС) (2)'!E707&gt;'зведена (БАЛАНС) (2)'!F707,'зведена (БАЛАНС) (2)'!E707-'зведена (БАЛАНС) (2)'!F707,0)</f>
        <v>0</v>
      </c>
      <c r="F707" s="5">
        <f>IF('зведена (БАЛАНС) (2)'!F707&gt;'зведена (БАЛАНС) (2)'!E707,'зведена (БАЛАНС) (2)'!F707-'зведена (БАЛАНС) (2)'!E707,0)</f>
        <v>14315.7</v>
      </c>
    </row>
    <row r="708" spans="1:6" s="29" customFormat="1" x14ac:dyDescent="0.25">
      <c r="A708" s="38">
        <v>11</v>
      </c>
      <c r="B708" s="34" t="s">
        <v>986</v>
      </c>
      <c r="C708" s="30" t="s">
        <v>1873</v>
      </c>
      <c r="D708" s="32" t="s">
        <v>1874</v>
      </c>
      <c r="E708" s="5">
        <f>IF('зведена (БАЛАНС) (2)'!E708&gt;'зведена (БАЛАНС) (2)'!F708,'зведена (БАЛАНС) (2)'!E708-'зведена (БАЛАНС) (2)'!F708,0)</f>
        <v>32264</v>
      </c>
      <c r="F708" s="5">
        <f>IF('зведена (БАЛАНС) (2)'!F708&gt;'зведена (БАЛАНС) (2)'!E708,'зведена (БАЛАНС) (2)'!F708-'зведена (БАЛАНС) (2)'!E708,0)</f>
        <v>0</v>
      </c>
    </row>
    <row r="709" spans="1:6" s="29" customFormat="1" x14ac:dyDescent="0.25">
      <c r="A709" s="38">
        <v>11</v>
      </c>
      <c r="B709" s="34" t="s">
        <v>984</v>
      </c>
      <c r="C709" s="30" t="s">
        <v>1875</v>
      </c>
      <c r="D709" s="32" t="s">
        <v>1876</v>
      </c>
      <c r="E709" s="5">
        <f>IF('зведена (БАЛАНС) (2)'!E709&gt;'зведена (БАЛАНС) (2)'!F709,'зведена (БАЛАНС) (2)'!E709-'зведена (БАЛАНС) (2)'!F709,0)</f>
        <v>0</v>
      </c>
      <c r="F709" s="5">
        <f>IF('зведена (БАЛАНС) (2)'!F709&gt;'зведена (БАЛАНС) (2)'!E709,'зведена (БАЛАНС) (2)'!F709-'зведена (БАЛАНС) (2)'!E709,0)</f>
        <v>10305.1</v>
      </c>
    </row>
    <row r="710" spans="1:6" s="29" customFormat="1" x14ac:dyDescent="0.25">
      <c r="A710" s="38">
        <v>11</v>
      </c>
      <c r="B710" s="34" t="s">
        <v>984</v>
      </c>
      <c r="C710" s="30" t="s">
        <v>1877</v>
      </c>
      <c r="D710" s="32" t="s">
        <v>3011</v>
      </c>
      <c r="E710" s="5">
        <f>IF('зведена (БАЛАНС) (2)'!E710&gt;'зведена (БАЛАНС) (2)'!F710,'зведена (БАЛАНС) (2)'!E710-'зведена (БАЛАНС) (2)'!F710,0)</f>
        <v>0</v>
      </c>
      <c r="F710" s="5">
        <f>IF('зведена (БАЛАНС) (2)'!F710&gt;'зведена (БАЛАНС) (2)'!E710,'зведена (БАЛАНС) (2)'!F710-'зведена (БАЛАНС) (2)'!E710,0)</f>
        <v>3240.1</v>
      </c>
    </row>
    <row r="711" spans="1:6" s="29" customFormat="1" x14ac:dyDescent="0.25">
      <c r="A711" s="38">
        <v>11</v>
      </c>
      <c r="B711" s="34" t="s">
        <v>985</v>
      </c>
      <c r="C711" s="30" t="s">
        <v>1879</v>
      </c>
      <c r="D711" s="32" t="s">
        <v>1880</v>
      </c>
      <c r="E711" s="5">
        <f>IF('зведена (БАЛАНС) (2)'!E711&gt;'зведена (БАЛАНС) (2)'!F711,'зведена (БАЛАНС) (2)'!E711-'зведена (БАЛАНС) (2)'!F711,0)</f>
        <v>0</v>
      </c>
      <c r="F711" s="5">
        <f>IF('зведена (БАЛАНС) (2)'!F711&gt;'зведена (БАЛАНС) (2)'!E711,'зведена (БАЛАНС) (2)'!F711-'зведена (БАЛАНС) (2)'!E711,0)</f>
        <v>0</v>
      </c>
    </row>
    <row r="712" spans="1:6" s="29" customFormat="1" x14ac:dyDescent="0.25">
      <c r="A712" s="38">
        <v>11</v>
      </c>
      <c r="B712" s="34" t="s">
        <v>985</v>
      </c>
      <c r="C712" s="30" t="s">
        <v>1881</v>
      </c>
      <c r="D712" s="32" t="s">
        <v>1882</v>
      </c>
      <c r="E712" s="5">
        <f>IF('зведена (БАЛАНС) (2)'!E712&gt;'зведена (БАЛАНС) (2)'!F712,'зведена (БАЛАНС) (2)'!E712-'зведена (БАЛАНС) (2)'!F712,0)</f>
        <v>0</v>
      </c>
      <c r="F712" s="5">
        <f>IF('зведена (БАЛАНС) (2)'!F712&gt;'зведена (БАЛАНС) (2)'!E712,'зведена (БАЛАНС) (2)'!F712-'зведена (БАЛАНС) (2)'!E712,0)</f>
        <v>310.89999999999998</v>
      </c>
    </row>
    <row r="713" spans="1:6" x14ac:dyDescent="0.25">
      <c r="A713" s="38">
        <v>11</v>
      </c>
      <c r="B713" s="34" t="s">
        <v>983</v>
      </c>
      <c r="C713" s="30" t="s">
        <v>1883</v>
      </c>
      <c r="D713" s="32" t="s">
        <v>1884</v>
      </c>
      <c r="E713" s="5">
        <f>IF('зведена (БАЛАНС) (2)'!E713&gt;'зведена (БАЛАНС) (2)'!F713,'зведена (БАЛАНС) (2)'!E713-'зведена (БАЛАНС) (2)'!F713,0)</f>
        <v>0</v>
      </c>
      <c r="F713" s="5">
        <f>IF('зведена (БАЛАНС) (2)'!F713&gt;'зведена (БАЛАНС) (2)'!E713,'зведена (БАЛАНС) (2)'!F713-'зведена (БАЛАНС) (2)'!E713,0)</f>
        <v>5048.2</v>
      </c>
    </row>
    <row r="714" spans="1:6" x14ac:dyDescent="0.25">
      <c r="A714" s="38">
        <v>11</v>
      </c>
      <c r="B714" s="34" t="s">
        <v>985</v>
      </c>
      <c r="C714" s="30" t="s">
        <v>1885</v>
      </c>
      <c r="D714" s="32" t="s">
        <v>1334</v>
      </c>
      <c r="E714" s="5">
        <f>IF('зведена (БАЛАНС) (2)'!E714&gt;'зведена (БАЛАНС) (2)'!F714,'зведена (БАЛАНС) (2)'!E714-'зведена (БАЛАНС) (2)'!F714,0)</f>
        <v>0</v>
      </c>
      <c r="F714" s="5">
        <f>IF('зведена (БАЛАНС) (2)'!F714&gt;'зведена (БАЛАНС) (2)'!E714,'зведена (БАЛАНС) (2)'!F714-'зведена (БАЛАНС) (2)'!E714,0)</f>
        <v>0</v>
      </c>
    </row>
    <row r="715" spans="1:6" x14ac:dyDescent="0.25">
      <c r="A715" s="38">
        <v>11</v>
      </c>
      <c r="B715" s="34" t="s">
        <v>986</v>
      </c>
      <c r="C715" s="30" t="s">
        <v>1886</v>
      </c>
      <c r="D715" s="32" t="s">
        <v>1887</v>
      </c>
      <c r="E715" s="5">
        <f>IF('зведена (БАЛАНС) (2)'!E715&gt;'зведена (БАЛАНС) (2)'!F715,'зведена (БАЛАНС) (2)'!E715-'зведена (БАЛАНС) (2)'!F715,0)</f>
        <v>0</v>
      </c>
      <c r="F715" s="5">
        <f>IF('зведена (БАЛАНС) (2)'!F715&gt;'зведена (БАЛАНС) (2)'!E715,'зведена (БАЛАНС) (2)'!F715-'зведена (БАЛАНС) (2)'!E715,0)</f>
        <v>71090</v>
      </c>
    </row>
    <row r="716" spans="1:6" x14ac:dyDescent="0.25">
      <c r="A716" s="38">
        <v>11</v>
      </c>
      <c r="B716" s="34" t="s">
        <v>985</v>
      </c>
      <c r="C716" s="30" t="s">
        <v>1888</v>
      </c>
      <c r="D716" s="32" t="s">
        <v>1889</v>
      </c>
      <c r="E716" s="5">
        <f>IF('зведена (БАЛАНС) (2)'!E716&gt;'зведена (БАЛАНС) (2)'!F716,'зведена (БАЛАНС) (2)'!E716-'зведена (БАЛАНС) (2)'!F716,0)</f>
        <v>0</v>
      </c>
      <c r="F716" s="5">
        <f>IF('зведена (БАЛАНС) (2)'!F716&gt;'зведена (БАЛАНС) (2)'!E716,'зведена (БАЛАНС) (2)'!F716-'зведена (БАЛАНС) (2)'!E716,0)</f>
        <v>7682.5</v>
      </c>
    </row>
    <row r="717" spans="1:6" x14ac:dyDescent="0.25">
      <c r="A717" s="38">
        <v>11</v>
      </c>
      <c r="B717" s="34" t="s">
        <v>985</v>
      </c>
      <c r="C717" s="30" t="s">
        <v>1890</v>
      </c>
      <c r="D717" s="32" t="s">
        <v>1891</v>
      </c>
      <c r="E717" s="5">
        <f>IF('зведена (БАЛАНС) (2)'!E717&gt;'зведена (БАЛАНС) (2)'!F717,'зведена (БАЛАНС) (2)'!E717-'зведена (БАЛАНС) (2)'!F717,0)</f>
        <v>0</v>
      </c>
      <c r="F717" s="5">
        <f>IF('зведена (БАЛАНС) (2)'!F717&gt;'зведена (БАЛАНС) (2)'!E717,'зведена (БАЛАНС) (2)'!F717-'зведена (БАЛАНС) (2)'!E717,0)</f>
        <v>6510.6</v>
      </c>
    </row>
    <row r="718" spans="1:6" x14ac:dyDescent="0.25">
      <c r="A718" s="38">
        <v>11</v>
      </c>
      <c r="B718" s="34" t="s">
        <v>984</v>
      </c>
      <c r="C718" s="30" t="s">
        <v>1892</v>
      </c>
      <c r="D718" s="32" t="s">
        <v>1893</v>
      </c>
      <c r="E718" s="5">
        <f>IF('зведена (БАЛАНС) (2)'!E718&gt;'зведена (БАЛАНС) (2)'!F718,'зведена (БАЛАНС) (2)'!E718-'зведена (БАЛАНС) (2)'!F718,0)</f>
        <v>0</v>
      </c>
      <c r="F718" s="5">
        <f>IF('зведена (БАЛАНС) (2)'!F718&gt;'зведена (БАЛАНС) (2)'!E718,'зведена (БАЛАНС) (2)'!F718-'зведена (БАЛАНС) (2)'!E718,0)</f>
        <v>3683.2</v>
      </c>
    </row>
    <row r="719" spans="1:6" x14ac:dyDescent="0.25">
      <c r="A719" s="38">
        <v>11</v>
      </c>
      <c r="B719" s="34" t="s">
        <v>984</v>
      </c>
      <c r="C719" s="30" t="s">
        <v>1894</v>
      </c>
      <c r="D719" s="32" t="s">
        <v>1895</v>
      </c>
      <c r="E719" s="5">
        <f>IF('зведена (БАЛАНС) (2)'!E719&gt;'зведена (БАЛАНС) (2)'!F719,'зведена (БАЛАНС) (2)'!E719-'зведена (БАЛАНС) (2)'!F719,0)</f>
        <v>0</v>
      </c>
      <c r="F719" s="5">
        <f>IF('зведена (БАЛАНС) (2)'!F719&gt;'зведена (БАЛАНС) (2)'!E719,'зведена (БАЛАНС) (2)'!F719-'зведена (БАЛАНС) (2)'!E719,0)</f>
        <v>4215</v>
      </c>
    </row>
    <row r="720" spans="1:6" x14ac:dyDescent="0.25">
      <c r="A720" s="38">
        <v>11</v>
      </c>
      <c r="B720" s="34" t="s">
        <v>985</v>
      </c>
      <c r="C720" s="30" t="s">
        <v>1896</v>
      </c>
      <c r="D720" s="32" t="s">
        <v>1897</v>
      </c>
      <c r="E720" s="5">
        <f>IF('зведена (БАЛАНС) (2)'!E720&gt;'зведена (БАЛАНС) (2)'!F720,'зведена (БАЛАНС) (2)'!E720-'зведена (БАЛАНС) (2)'!F720,0)</f>
        <v>2618.9</v>
      </c>
      <c r="F720" s="5">
        <f>IF('зведена (БАЛАНС) (2)'!F720&gt;'зведена (БАЛАНС) (2)'!E720,'зведена (БАЛАНС) (2)'!F720-'зведена (БАЛАНС) (2)'!E720,0)</f>
        <v>0</v>
      </c>
    </row>
    <row r="721" spans="1:6" x14ac:dyDescent="0.25">
      <c r="A721" s="38">
        <v>11</v>
      </c>
      <c r="B721" s="34" t="s">
        <v>984</v>
      </c>
      <c r="C721" s="30" t="s">
        <v>1898</v>
      </c>
      <c r="D721" s="32" t="s">
        <v>1899</v>
      </c>
      <c r="E721" s="5">
        <f>IF('зведена (БАЛАНС) (2)'!E721&gt;'зведена (БАЛАНС) (2)'!F721,'зведена (БАЛАНС) (2)'!E721-'зведена (БАЛАНС) (2)'!F721,0)</f>
        <v>0</v>
      </c>
      <c r="F721" s="5">
        <f>IF('зведена (БАЛАНС) (2)'!F721&gt;'зведена (БАЛАНС) (2)'!E721,'зведена (БАЛАНС) (2)'!F721-'зведена (БАЛАНС) (2)'!E721,0)</f>
        <v>3515.2</v>
      </c>
    </row>
    <row r="722" spans="1:6" s="28" customFormat="1" x14ac:dyDescent="0.25">
      <c r="A722" s="38">
        <v>11</v>
      </c>
      <c r="B722" s="34" t="s">
        <v>986</v>
      </c>
      <c r="C722" s="30" t="s">
        <v>1900</v>
      </c>
      <c r="D722" s="32" t="s">
        <v>1901</v>
      </c>
      <c r="E722" s="5">
        <f>IF('зведена (БАЛАНС) (2)'!E722&gt;'зведена (БАЛАНС) (2)'!F722,'зведена (БАЛАНС) (2)'!E722-'зведена (БАЛАНС) (2)'!F722,0)</f>
        <v>0</v>
      </c>
      <c r="F722" s="5">
        <f>IF('зведена (БАЛАНС) (2)'!F722&gt;'зведена (БАЛАНС) (2)'!E722,'зведена (БАЛАНС) (2)'!F722-'зведена (БАЛАНС) (2)'!E722,0)</f>
        <v>9714.4</v>
      </c>
    </row>
    <row r="723" spans="1:6" s="28" customFormat="1" x14ac:dyDescent="0.25">
      <c r="A723" s="38">
        <v>11</v>
      </c>
      <c r="B723" s="34" t="s">
        <v>984</v>
      </c>
      <c r="C723" s="30" t="s">
        <v>1902</v>
      </c>
      <c r="D723" s="32" t="s">
        <v>1903</v>
      </c>
      <c r="E723" s="5">
        <f>IF('зведена (БАЛАНС) (2)'!E723&gt;'зведена (БАЛАНС) (2)'!F723,'зведена (БАЛАНС) (2)'!E723-'зведена (БАЛАНС) (2)'!F723,0)</f>
        <v>0</v>
      </c>
      <c r="F723" s="5">
        <f>IF('зведена (БАЛАНС) (2)'!F723&gt;'зведена (БАЛАНС) (2)'!E723,'зведена (БАЛАНС) (2)'!F723-'зведена (БАЛАНС) (2)'!E723,0)</f>
        <v>0</v>
      </c>
    </row>
    <row r="724" spans="1:6" s="28" customFormat="1" x14ac:dyDescent="0.25">
      <c r="A724" s="38">
        <v>11</v>
      </c>
      <c r="B724" s="34" t="s">
        <v>985</v>
      </c>
      <c r="C724" s="30" t="s">
        <v>1904</v>
      </c>
      <c r="D724" s="32" t="s">
        <v>1905</v>
      </c>
      <c r="E724" s="5">
        <f>IF('зведена (БАЛАНС) (2)'!E724&gt;'зведена (БАЛАНС) (2)'!F724,'зведена (БАЛАНС) (2)'!E724-'зведена (БАЛАНС) (2)'!F724,0)</f>
        <v>0</v>
      </c>
      <c r="F724" s="5">
        <f>IF('зведена (БАЛАНС) (2)'!F724&gt;'зведена (БАЛАНС) (2)'!E724,'зведена (БАЛАНС) (2)'!F724-'зведена (БАЛАНС) (2)'!E724,0)</f>
        <v>0</v>
      </c>
    </row>
    <row r="725" spans="1:6" s="28" customFormat="1" x14ac:dyDescent="0.25">
      <c r="A725" s="36">
        <v>12</v>
      </c>
      <c r="B725" s="17" t="s">
        <v>7</v>
      </c>
      <c r="C725" s="17" t="s">
        <v>787</v>
      </c>
      <c r="D725" s="11" t="s">
        <v>16</v>
      </c>
      <c r="E725" s="11">
        <f>E726+E727+E732</f>
        <v>21974.2</v>
      </c>
      <c r="F725" s="11">
        <f>F726+F727+F732</f>
        <v>853557.99999999977</v>
      </c>
    </row>
    <row r="726" spans="1:6" s="28" customFormat="1" x14ac:dyDescent="0.25">
      <c r="A726" s="38">
        <v>12</v>
      </c>
      <c r="B726" s="34" t="s">
        <v>6</v>
      </c>
      <c r="C726" s="18" t="s">
        <v>116</v>
      </c>
      <c r="D726" s="32" t="s">
        <v>849</v>
      </c>
      <c r="E726" s="5">
        <f>IF('зведена (БАЛАНС) (2)'!E726&gt;'зведена (БАЛАНС) (2)'!F726,'зведена (БАЛАНС) (2)'!E726-'зведена (БАЛАНС) (2)'!F726,0)</f>
        <v>0</v>
      </c>
      <c r="F726" s="5">
        <f>IF('зведена (БАЛАНС) (2)'!F726&gt;'зведена (БАЛАНС) (2)'!E726,'зведена (БАЛАНС) (2)'!F726-'зведена (БАЛАНС) (2)'!E726,0)</f>
        <v>187422.19999999998</v>
      </c>
    </row>
    <row r="727" spans="1:6" s="28" customFormat="1" x14ac:dyDescent="0.25">
      <c r="A727" s="37">
        <v>12</v>
      </c>
      <c r="B727" s="19" t="s">
        <v>5</v>
      </c>
      <c r="C727" s="19" t="s">
        <v>788</v>
      </c>
      <c r="D727" s="7" t="s">
        <v>2804</v>
      </c>
      <c r="E727" s="7">
        <f>SUM(E728:E731)</f>
        <v>0</v>
      </c>
      <c r="F727" s="7">
        <f>SUM(F728:F731)</f>
        <v>0</v>
      </c>
    </row>
    <row r="728" spans="1:6" s="28" customFormat="1" x14ac:dyDescent="0.25">
      <c r="A728" s="38">
        <v>12</v>
      </c>
      <c r="B728" s="34" t="s">
        <v>4</v>
      </c>
      <c r="C728" s="18" t="s">
        <v>117</v>
      </c>
      <c r="D728" s="32" t="s">
        <v>922</v>
      </c>
      <c r="E728" s="5">
        <f>IF('зведена (БАЛАНС) (2)'!E728&gt;'зведена (БАЛАНС) (2)'!F728,'зведена (БАЛАНС) (2)'!E728-'зведена (БАЛАНС) (2)'!F728,0)</f>
        <v>0</v>
      </c>
      <c r="F728" s="5">
        <f>IF('зведена (БАЛАНС) (2)'!F728&gt;'зведена (БАЛАНС) (2)'!E728,'зведена (БАЛАНС) (2)'!F728-'зведена (БАЛАНС) (2)'!E728,0)</f>
        <v>0</v>
      </c>
    </row>
    <row r="729" spans="1:6" s="28" customFormat="1" x14ac:dyDescent="0.25">
      <c r="A729" s="38">
        <v>12</v>
      </c>
      <c r="B729" s="34" t="s">
        <v>4</v>
      </c>
      <c r="C729" s="18" t="s">
        <v>118</v>
      </c>
      <c r="D729" s="32" t="s">
        <v>923</v>
      </c>
      <c r="E729" s="5">
        <f>IF('зведена (БАЛАНС) (2)'!E729&gt;'зведена (БАЛАНС) (2)'!F729,'зведена (БАЛАНС) (2)'!E729-'зведена (БАЛАНС) (2)'!F729,0)</f>
        <v>0</v>
      </c>
      <c r="F729" s="5">
        <f>IF('зведена (БАЛАНС) (2)'!F729&gt;'зведена (БАЛАНС) (2)'!E729,'зведена (БАЛАНС) (2)'!F729-'зведена (БАЛАНС) (2)'!E729,0)</f>
        <v>0</v>
      </c>
    </row>
    <row r="730" spans="1:6" s="28" customFormat="1" x14ac:dyDescent="0.25">
      <c r="A730" s="38">
        <v>12</v>
      </c>
      <c r="B730" s="34" t="s">
        <v>4</v>
      </c>
      <c r="C730" s="18">
        <v>12318200000</v>
      </c>
      <c r="D730" s="32" t="s">
        <v>1906</v>
      </c>
      <c r="E730" s="5">
        <f>IF('зведена (БАЛАНС) (2)'!E730&gt;'зведена (БАЛАНС) (2)'!F730,'зведена (БАЛАНС) (2)'!E730-'зведена (БАЛАНС) (2)'!F730,0)</f>
        <v>0</v>
      </c>
      <c r="F730" s="5">
        <f>IF('зведена (БАЛАНС) (2)'!F730&gt;'зведена (БАЛАНС) (2)'!E730,'зведена (БАЛАНС) (2)'!F730-'зведена (БАЛАНС) (2)'!E730,0)</f>
        <v>0</v>
      </c>
    </row>
    <row r="731" spans="1:6" s="28" customFormat="1" x14ac:dyDescent="0.25">
      <c r="A731" s="38">
        <v>12</v>
      </c>
      <c r="B731" s="34" t="s">
        <v>4</v>
      </c>
      <c r="C731" s="18">
        <v>12319200000</v>
      </c>
      <c r="D731" s="32" t="s">
        <v>1907</v>
      </c>
      <c r="E731" s="5">
        <f>IF('зведена (БАЛАНС) (2)'!E731&gt;'зведена (БАЛАНС) (2)'!F731,'зведена (БАЛАНС) (2)'!E731-'зведена (БАЛАНС) (2)'!F731,0)</f>
        <v>0</v>
      </c>
      <c r="F731" s="5">
        <f>IF('зведена (БАЛАНС) (2)'!F731&gt;'зведена (БАЛАНС) (2)'!E731,'зведена (БАЛАНС) (2)'!F731-'зведена (БАЛАНС) (2)'!E731,0)</f>
        <v>0</v>
      </c>
    </row>
    <row r="732" spans="1:6" s="28" customFormat="1" x14ac:dyDescent="0.25">
      <c r="A732" s="37">
        <v>12</v>
      </c>
      <c r="B732" s="19" t="s">
        <v>28</v>
      </c>
      <c r="C732" s="19" t="s">
        <v>789</v>
      </c>
      <c r="D732" s="20" t="s">
        <v>2778</v>
      </c>
      <c r="E732" s="7">
        <f>SUM(E733:E758)</f>
        <v>21974.2</v>
      </c>
      <c r="F732" s="7">
        <f>SUM(F733:F758)</f>
        <v>666135.79999999981</v>
      </c>
    </row>
    <row r="733" spans="1:6" s="28" customFormat="1" x14ac:dyDescent="0.25">
      <c r="A733" s="38">
        <v>12</v>
      </c>
      <c r="B733" s="34" t="s">
        <v>985</v>
      </c>
      <c r="C733" s="18" t="s">
        <v>234</v>
      </c>
      <c r="D733" s="32" t="s">
        <v>3012</v>
      </c>
      <c r="E733" s="5">
        <f>IF('зведена (БАЛАНС) (2)'!E733&gt;'зведена (БАЛАНС) (2)'!F733,'зведена (БАЛАНС) (2)'!E733-'зведена (БАЛАНС) (2)'!F733,0)</f>
        <v>0</v>
      </c>
      <c r="F733" s="5">
        <f>IF('зведена (БАЛАНС) (2)'!F733&gt;'зведена (БАЛАНС) (2)'!E733,'зведена (БАЛАНС) (2)'!F733-'зведена (БАЛАНС) (2)'!E733,0)</f>
        <v>17152.5</v>
      </c>
    </row>
    <row r="734" spans="1:6" s="28" customFormat="1" x14ac:dyDescent="0.25">
      <c r="A734" s="38">
        <v>12</v>
      </c>
      <c r="B734" s="34" t="s">
        <v>985</v>
      </c>
      <c r="C734" s="18" t="s">
        <v>235</v>
      </c>
      <c r="D734" s="32" t="s">
        <v>3013</v>
      </c>
      <c r="E734" s="5">
        <f>IF('зведена (БАЛАНС) (2)'!E734&gt;'зведена (БАЛАНС) (2)'!F734,'зведена (БАЛАНС) (2)'!E734-'зведена (БАЛАНС) (2)'!F734,0)</f>
        <v>0</v>
      </c>
      <c r="F734" s="5">
        <f>IF('зведена (БАЛАНС) (2)'!F734&gt;'зведена (БАЛАНС) (2)'!E734,'зведена (БАЛАНС) (2)'!F734-'зведена (БАЛАНС) (2)'!E734,0)</f>
        <v>23599.1</v>
      </c>
    </row>
    <row r="735" spans="1:6" s="28" customFormat="1" x14ac:dyDescent="0.25">
      <c r="A735" s="38">
        <v>12</v>
      </c>
      <c r="B735" s="34" t="s">
        <v>984</v>
      </c>
      <c r="C735" s="18" t="s">
        <v>378</v>
      </c>
      <c r="D735" s="32" t="s">
        <v>1910</v>
      </c>
      <c r="E735" s="5">
        <f>IF('зведена (БАЛАНС) (2)'!E735&gt;'зведена (БАЛАНС) (2)'!F735,'зведена (БАЛАНС) (2)'!E735-'зведена (БАЛАНС) (2)'!F735,0)</f>
        <v>0</v>
      </c>
      <c r="F735" s="5">
        <f>IF('зведена (БАЛАНС) (2)'!F735&gt;'зведена (БАЛАНС) (2)'!E735,'зведена (БАЛАНС) (2)'!F735-'зведена (БАЛАНС) (2)'!E735,0)</f>
        <v>20308.7</v>
      </c>
    </row>
    <row r="736" spans="1:6" s="28" customFormat="1" x14ac:dyDescent="0.25">
      <c r="A736" s="38">
        <v>12</v>
      </c>
      <c r="B736" s="34" t="s">
        <v>985</v>
      </c>
      <c r="C736" s="18" t="s">
        <v>487</v>
      </c>
      <c r="D736" s="32" t="s">
        <v>1911</v>
      </c>
      <c r="E736" s="5">
        <f>IF('зведена (БАЛАНС) (2)'!E736&gt;'зведена (БАЛАНС) (2)'!F736,'зведена (БАЛАНС) (2)'!E736-'зведена (БАЛАНС) (2)'!F736,0)</f>
        <v>0</v>
      </c>
      <c r="F736" s="5">
        <f>IF('зведена (БАЛАНС) (2)'!F736&gt;'зведена (БАЛАНС) (2)'!E736,'зведена (БАЛАНС) (2)'!F736-'зведена (БАЛАНС) (2)'!E736,0)</f>
        <v>0</v>
      </c>
    </row>
    <row r="737" spans="1:6" s="28" customFormat="1" x14ac:dyDescent="0.25">
      <c r="A737" s="38">
        <v>12</v>
      </c>
      <c r="B737" s="34" t="s">
        <v>985</v>
      </c>
      <c r="C737" s="18" t="s">
        <v>578</v>
      </c>
      <c r="D737" s="32" t="s">
        <v>1912</v>
      </c>
      <c r="E737" s="5">
        <f>IF('зведена (БАЛАНС) (2)'!E737&gt;'зведена (БАЛАНС) (2)'!F737,'зведена (БАЛАНС) (2)'!E737-'зведена (БАЛАНС) (2)'!F737,0)</f>
        <v>0</v>
      </c>
      <c r="F737" s="5">
        <f>IF('зведена (БАЛАНС) (2)'!F737&gt;'зведена (БАЛАНС) (2)'!E737,'зведена (БАЛАНС) (2)'!F737-'зведена (БАЛАНС) (2)'!E737,0)</f>
        <v>98378</v>
      </c>
    </row>
    <row r="738" spans="1:6" s="28" customFormat="1" x14ac:dyDescent="0.25">
      <c r="A738" s="38">
        <v>12</v>
      </c>
      <c r="B738" s="34" t="s">
        <v>985</v>
      </c>
      <c r="C738" s="18" t="s">
        <v>579</v>
      </c>
      <c r="D738" s="32" t="s">
        <v>1913</v>
      </c>
      <c r="E738" s="5">
        <f>IF('зведена (БАЛАНС) (2)'!E738&gt;'зведена (БАЛАНС) (2)'!F738,'зведена (БАЛАНС) (2)'!E738-'зведена (БАЛАНС) (2)'!F738,0)</f>
        <v>0</v>
      </c>
      <c r="F738" s="5">
        <f>IF('зведена (БАЛАНС) (2)'!F738&gt;'зведена (БАЛАНС) (2)'!E738,'зведена (БАЛАНС) (2)'!F738-'зведена (БАЛАНС) (2)'!E738,0)</f>
        <v>12519.3</v>
      </c>
    </row>
    <row r="739" spans="1:6" s="28" customFormat="1" x14ac:dyDescent="0.25">
      <c r="A739" s="38">
        <v>12</v>
      </c>
      <c r="B739" s="34" t="s">
        <v>985</v>
      </c>
      <c r="C739" s="18" t="s">
        <v>580</v>
      </c>
      <c r="D739" s="32" t="s">
        <v>1914</v>
      </c>
      <c r="E739" s="5">
        <f>IF('зведена (БАЛАНС) (2)'!E739&gt;'зведена (БАЛАНС) (2)'!F739,'зведена (БАЛАНС) (2)'!E739-'зведена (БАЛАНС) (2)'!F739,0)</f>
        <v>0</v>
      </c>
      <c r="F739" s="5">
        <f>IF('зведена (БАЛАНС) (2)'!F739&gt;'зведена (БАЛАНС) (2)'!E739,'зведена (БАЛАНС) (2)'!F739-'зведена (БАЛАНС) (2)'!E739,0)</f>
        <v>2171.3000000000002</v>
      </c>
    </row>
    <row r="740" spans="1:6" s="28" customFormat="1" ht="31.5" x14ac:dyDescent="0.25">
      <c r="A740" s="39">
        <v>12</v>
      </c>
      <c r="B740" s="34" t="s">
        <v>985</v>
      </c>
      <c r="C740" s="18">
        <v>12509000000</v>
      </c>
      <c r="D740" s="32" t="s">
        <v>1915</v>
      </c>
      <c r="E740" s="5">
        <f>IF('зведена (БАЛАНС) (2)'!E740&gt;'зведена (БАЛАНС) (2)'!F740,'зведена (БАЛАНС) (2)'!E740-'зведена (БАЛАНС) (2)'!F740,0)</f>
        <v>0</v>
      </c>
      <c r="F740" s="5">
        <f>IF('зведена (БАЛАНС) (2)'!F740&gt;'зведена (БАЛАНС) (2)'!E740,'зведена (БАЛАНС) (2)'!F740-'зведена (БАЛАНС) (2)'!E740,0)</f>
        <v>1349.5</v>
      </c>
    </row>
    <row r="741" spans="1:6" s="28" customFormat="1" x14ac:dyDescent="0.25">
      <c r="A741" s="39">
        <v>12</v>
      </c>
      <c r="B741" s="34" t="s">
        <v>984</v>
      </c>
      <c r="C741" s="18">
        <v>12510000000</v>
      </c>
      <c r="D741" s="32" t="s">
        <v>3014</v>
      </c>
      <c r="E741" s="5">
        <f>IF('зведена (БАЛАНС) (2)'!E741&gt;'зведена (БАЛАНС) (2)'!F741,'зведена (БАЛАНС) (2)'!E741-'зведена (БАЛАНС) (2)'!F741,0)</f>
        <v>0</v>
      </c>
      <c r="F741" s="5">
        <f>IF('зведена (БАЛАНС) (2)'!F741&gt;'зведена (БАЛАНС) (2)'!E741,'зведена (БАЛАНС) (2)'!F741-'зведена (БАЛАНС) (2)'!E741,0)</f>
        <v>6559.3</v>
      </c>
    </row>
    <row r="742" spans="1:6" s="27" customFormat="1" x14ac:dyDescent="0.25">
      <c r="A742" s="39">
        <v>12</v>
      </c>
      <c r="B742" s="34" t="s">
        <v>985</v>
      </c>
      <c r="C742" s="18">
        <v>12511000000</v>
      </c>
      <c r="D742" s="32" t="s">
        <v>3015</v>
      </c>
      <c r="E742" s="5">
        <f>IF('зведена (БАЛАНС) (2)'!E742&gt;'зведена (БАЛАНС) (2)'!F742,'зведена (БАЛАНС) (2)'!E742-'зведена (БАЛАНС) (2)'!F742,0)</f>
        <v>0</v>
      </c>
      <c r="F742" s="5">
        <f>IF('зведена (БАЛАНС) (2)'!F742&gt;'зведена (БАЛАНС) (2)'!E742,'зведена (БАЛАНС) (2)'!F742-'зведена (БАЛАНС) (2)'!E742,0)</f>
        <v>63650.2</v>
      </c>
    </row>
    <row r="743" spans="1:6" x14ac:dyDescent="0.25">
      <c r="A743" s="39">
        <v>12</v>
      </c>
      <c r="B743" s="34" t="s">
        <v>984</v>
      </c>
      <c r="C743" s="18">
        <v>12515000000</v>
      </c>
      <c r="D743" s="32" t="s">
        <v>3016</v>
      </c>
      <c r="E743" s="5">
        <f>IF('зведена (БАЛАНС) (2)'!E743&gt;'зведена (БАЛАНС) (2)'!F743,'зведена (БАЛАНС) (2)'!E743-'зведена (БАЛАНС) (2)'!F743,0)</f>
        <v>0</v>
      </c>
      <c r="F743" s="5">
        <f>IF('зведена (БАЛАНС) (2)'!F743&gt;'зведена (БАЛАНС) (2)'!E743,'зведена (БАЛАНС) (2)'!F743-'зведена (БАЛАНС) (2)'!E743,0)</f>
        <v>1133.5</v>
      </c>
    </row>
    <row r="744" spans="1:6" x14ac:dyDescent="0.25">
      <c r="A744" s="39">
        <v>12</v>
      </c>
      <c r="B744" s="34" t="s">
        <v>985</v>
      </c>
      <c r="C744" s="18">
        <v>12516000000</v>
      </c>
      <c r="D744" s="80" t="s">
        <v>1919</v>
      </c>
      <c r="E744" s="5">
        <f>IF('зведена (БАЛАНС) (2)'!E744&gt;'зведена (БАЛАНС) (2)'!F744,'зведена (БАЛАНС) (2)'!E744-'зведена (БАЛАНС) (2)'!F744,0)</f>
        <v>0</v>
      </c>
      <c r="F744" s="5">
        <f>IF('зведена (БАЛАНС) (2)'!F744&gt;'зведена (БАЛАНС) (2)'!E744,'зведена (БАЛАНС) (2)'!F744-'зведена (БАЛАНС) (2)'!E744,0)</f>
        <v>14972.6</v>
      </c>
    </row>
    <row r="745" spans="1:6" x14ac:dyDescent="0.25">
      <c r="A745" s="39">
        <v>12</v>
      </c>
      <c r="B745" s="34" t="s">
        <v>983</v>
      </c>
      <c r="C745" s="18">
        <v>12517000000</v>
      </c>
      <c r="D745" s="80" t="s">
        <v>1920</v>
      </c>
      <c r="E745" s="5">
        <f>IF('зведена (БАЛАНС) (2)'!E745&gt;'зведена (БАЛАНС) (2)'!F745,'зведена (БАЛАНС) (2)'!E745-'зведена (БАЛАНС) (2)'!F745,0)</f>
        <v>0</v>
      </c>
      <c r="F745" s="5">
        <f>IF('зведена (БАЛАНС) (2)'!F745&gt;'зведена (БАЛАНС) (2)'!E745,'зведена (БАЛАНС) (2)'!F745-'зведена (БАЛАНС) (2)'!E745,0)</f>
        <v>20346.099999999999</v>
      </c>
    </row>
    <row r="746" spans="1:6" x14ac:dyDescent="0.25">
      <c r="A746" s="39">
        <v>12</v>
      </c>
      <c r="B746" s="34" t="s">
        <v>983</v>
      </c>
      <c r="C746" s="18">
        <v>12518000000</v>
      </c>
      <c r="D746" s="80" t="s">
        <v>1921</v>
      </c>
      <c r="E746" s="5">
        <f>IF('зведена (БАЛАНС) (2)'!E746&gt;'зведена (БАЛАНС) (2)'!F746,'зведена (БАЛАНС) (2)'!E746-'зведена (БАЛАНС) (2)'!F746,0)</f>
        <v>0</v>
      </c>
      <c r="F746" s="5">
        <f>IF('зведена (БАЛАНС) (2)'!F746&gt;'зведена (БАЛАНС) (2)'!E746,'зведена (БАЛАНС) (2)'!F746-'зведена (БАЛАНС) (2)'!E746,0)</f>
        <v>46460.9</v>
      </c>
    </row>
    <row r="747" spans="1:6" x14ac:dyDescent="0.25">
      <c r="A747" s="39">
        <v>12</v>
      </c>
      <c r="B747" s="34" t="s">
        <v>986</v>
      </c>
      <c r="C747" s="18">
        <v>12519000000</v>
      </c>
      <c r="D747" s="80" t="s">
        <v>1922</v>
      </c>
      <c r="E747" s="5">
        <f>IF('зведена (БАЛАНС) (2)'!E747&gt;'зведена (БАЛАНС) (2)'!F747,'зведена (БАЛАНС) (2)'!E747-'зведена (БАЛАНС) (2)'!F747,0)</f>
        <v>0</v>
      </c>
      <c r="F747" s="5">
        <f>IF('зведена (БАЛАНС) (2)'!F747&gt;'зведена (БАЛАНС) (2)'!E747,'зведена (БАЛАНС) (2)'!F747-'зведена (БАЛАНС) (2)'!E747,0)</f>
        <v>104817.8</v>
      </c>
    </row>
    <row r="748" spans="1:6" ht="31.5" customHeight="1" x14ac:dyDescent="0.25">
      <c r="A748" s="39">
        <v>12</v>
      </c>
      <c r="B748" s="34" t="s">
        <v>985</v>
      </c>
      <c r="C748" s="18">
        <v>12520000000</v>
      </c>
      <c r="D748" s="80" t="s">
        <v>1923</v>
      </c>
      <c r="E748" s="5">
        <f>IF('зведена (БАЛАНС) (2)'!E748&gt;'зведена (БАЛАНС) (2)'!F748,'зведена (БАЛАНС) (2)'!E748-'зведена (БАЛАНС) (2)'!F748,0)</f>
        <v>0</v>
      </c>
      <c r="F748" s="5">
        <f>IF('зведена (БАЛАНС) (2)'!F748&gt;'зведена (БАЛАНС) (2)'!E748,'зведена (БАЛАНС) (2)'!F748-'зведена (БАЛАНС) (2)'!E748,0)</f>
        <v>47038.8</v>
      </c>
    </row>
    <row r="749" spans="1:6" x14ac:dyDescent="0.25">
      <c r="A749" s="39">
        <v>12</v>
      </c>
      <c r="B749" s="34" t="s">
        <v>984</v>
      </c>
      <c r="C749" s="18">
        <v>12521000000</v>
      </c>
      <c r="D749" s="80" t="s">
        <v>1924</v>
      </c>
      <c r="E749" s="5">
        <f>IF('зведена (БАЛАНС) (2)'!E749&gt;'зведена (БАЛАНС) (2)'!F749,'зведена (БАЛАНС) (2)'!E749-'зведена (БАЛАНС) (2)'!F749,0)</f>
        <v>0</v>
      </c>
      <c r="F749" s="5">
        <f>IF('зведена (БАЛАНС) (2)'!F749&gt;'зведена (БАЛАНС) (2)'!E749,'зведена (БАЛАНС) (2)'!F749-'зведена (БАЛАНС) (2)'!E749,0)</f>
        <v>10348.200000000001</v>
      </c>
    </row>
    <row r="750" spans="1:6" x14ac:dyDescent="0.25">
      <c r="A750" s="39">
        <v>12</v>
      </c>
      <c r="B750" s="34" t="s">
        <v>985</v>
      </c>
      <c r="C750" s="18">
        <v>12522000000</v>
      </c>
      <c r="D750" s="80" t="s">
        <v>1925</v>
      </c>
      <c r="E750" s="5">
        <f>IF('зведена (БАЛАНС) (2)'!E750&gt;'зведена (БАЛАНС) (2)'!F750,'зведена (БАЛАНС) (2)'!E750-'зведена (БАЛАНС) (2)'!F750,0)</f>
        <v>0</v>
      </c>
      <c r="F750" s="5">
        <f>IF('зведена (БАЛАНС) (2)'!F750&gt;'зведена (БАЛАНС) (2)'!E750,'зведена (БАЛАНС) (2)'!F750-'зведена (БАЛАНС) (2)'!E750,0)</f>
        <v>32056</v>
      </c>
    </row>
    <row r="751" spans="1:6" x14ac:dyDescent="0.25">
      <c r="A751" s="39">
        <v>12</v>
      </c>
      <c r="B751" s="34" t="s">
        <v>983</v>
      </c>
      <c r="C751" s="18">
        <v>12523000000</v>
      </c>
      <c r="D751" s="80" t="s">
        <v>1926</v>
      </c>
      <c r="E751" s="5">
        <f>IF('зведена (БАЛАНС) (2)'!E751&gt;'зведена (БАЛАНС) (2)'!F751,'зведена (БАЛАНС) (2)'!E751-'зведена (БАЛАНС) (2)'!F751,0)</f>
        <v>0</v>
      </c>
      <c r="F751" s="5">
        <f>IF('зведена (БАЛАНС) (2)'!F751&gt;'зведена (БАЛАНС) (2)'!E751,'зведена (БАЛАНС) (2)'!F751-'зведена (БАЛАНС) (2)'!E751,0)</f>
        <v>1824.8</v>
      </c>
    </row>
    <row r="752" spans="1:6" x14ac:dyDescent="0.25">
      <c r="A752" s="39">
        <v>12</v>
      </c>
      <c r="B752" s="34" t="s">
        <v>986</v>
      </c>
      <c r="C752" s="18">
        <v>12524000000</v>
      </c>
      <c r="D752" s="80" t="s">
        <v>1927</v>
      </c>
      <c r="E752" s="5">
        <f>IF('зведена (БАЛАНС) (2)'!E752&gt;'зведена (БАЛАНС) (2)'!F752,'зведена (БАЛАНС) (2)'!E752-'зведена (БАЛАНС) (2)'!F752,0)</f>
        <v>0</v>
      </c>
      <c r="F752" s="5">
        <f>IF('зведена (БАЛАНС) (2)'!F752&gt;'зведена (БАЛАНС) (2)'!E752,'зведена (БАЛАНС) (2)'!F752-'зведена (БАЛАНС) (2)'!E752,0)</f>
        <v>19646.599999999999</v>
      </c>
    </row>
    <row r="753" spans="1:6" x14ac:dyDescent="0.25">
      <c r="A753" s="39">
        <v>12</v>
      </c>
      <c r="B753" s="34" t="s">
        <v>983</v>
      </c>
      <c r="C753" s="18">
        <v>12525000000</v>
      </c>
      <c r="D753" s="80" t="s">
        <v>1928</v>
      </c>
      <c r="E753" s="5">
        <f>IF('зведена (БАЛАНС) (2)'!E753&gt;'зведена (БАЛАНС) (2)'!F753,'зведена (БАЛАНС) (2)'!E753-'зведена (БАЛАНС) (2)'!F753,0)</f>
        <v>0</v>
      </c>
      <c r="F753" s="5">
        <f>IF('зведена (БАЛАНС) (2)'!F753&gt;'зведена (БАЛАНС) (2)'!E753,'зведена (БАЛАНС) (2)'!F753-'зведена (БАЛАНС) (2)'!E753,0)</f>
        <v>15422.7</v>
      </c>
    </row>
    <row r="754" spans="1:6" x14ac:dyDescent="0.25">
      <c r="A754" s="39">
        <v>12</v>
      </c>
      <c r="B754" s="34" t="s">
        <v>986</v>
      </c>
      <c r="C754" s="18">
        <v>12526000000</v>
      </c>
      <c r="D754" s="80" t="s">
        <v>1929</v>
      </c>
      <c r="E754" s="5">
        <f>IF('зведена (БАЛАНС) (2)'!E754&gt;'зведена (БАЛАНС) (2)'!F754,'зведена (БАЛАНС) (2)'!E754-'зведена (БАЛАНС) (2)'!F754,0)</f>
        <v>21974.2</v>
      </c>
      <c r="F754" s="5">
        <f>IF('зведена (БАЛАНС) (2)'!F754&gt;'зведена (БАЛАНС) (2)'!E754,'зведена (БАЛАНС) (2)'!F754-'зведена (БАЛАНС) (2)'!E754,0)</f>
        <v>0</v>
      </c>
    </row>
    <row r="755" spans="1:6" ht="31.5" x14ac:dyDescent="0.25">
      <c r="A755" s="39">
        <v>12</v>
      </c>
      <c r="B755" s="34" t="s">
        <v>985</v>
      </c>
      <c r="C755" s="18">
        <v>12527000000</v>
      </c>
      <c r="D755" s="80" t="s">
        <v>1930</v>
      </c>
      <c r="E755" s="5">
        <f>IF('зведена (БАЛАНС) (2)'!E755&gt;'зведена (БАЛАНС) (2)'!F755,'зведена (БАЛАНС) (2)'!E755-'зведена (БАЛАНС) (2)'!F755,0)</f>
        <v>0</v>
      </c>
      <c r="F755" s="5">
        <f>IF('зведена (БАЛАНС) (2)'!F755&gt;'зведена (БАЛАНС) (2)'!E755,'зведена (БАЛАНС) (2)'!F755-'зведена (БАЛАНС) (2)'!E755,0)</f>
        <v>48889.2</v>
      </c>
    </row>
    <row r="756" spans="1:6" x14ac:dyDescent="0.25">
      <c r="A756" s="39">
        <v>12</v>
      </c>
      <c r="B756" s="34" t="s">
        <v>983</v>
      </c>
      <c r="C756" s="18">
        <v>12528000000</v>
      </c>
      <c r="D756" s="80" t="s">
        <v>1931</v>
      </c>
      <c r="E756" s="5">
        <f>IF('зведена (БАЛАНС) (2)'!E756&gt;'зведена (БАЛАНС) (2)'!F756,'зведена (БАЛАНС) (2)'!E756-'зведена (БАЛАНС) (2)'!F756,0)</f>
        <v>0</v>
      </c>
      <c r="F756" s="5">
        <f>IF('зведена (БАЛАНС) (2)'!F756&gt;'зведена (БАЛАНС) (2)'!E756,'зведена (БАЛАНС) (2)'!F756-'зведена (БАЛАНС) (2)'!E756,0)</f>
        <v>28063.200000000001</v>
      </c>
    </row>
    <row r="757" spans="1:6" x14ac:dyDescent="0.25">
      <c r="A757" s="39">
        <v>12</v>
      </c>
      <c r="B757" s="34" t="s">
        <v>984</v>
      </c>
      <c r="C757" s="18">
        <v>12529000000</v>
      </c>
      <c r="D757" s="80" t="s">
        <v>1618</v>
      </c>
      <c r="E757" s="5">
        <f>IF('зведена (БАЛАНС) (2)'!E757&gt;'зведена (БАЛАНС) (2)'!F757,'зведена (БАЛАНС) (2)'!E757-'зведена (БАЛАНС) (2)'!F757,0)</f>
        <v>0</v>
      </c>
      <c r="F757" s="5">
        <f>IF('зведена (БАЛАНС) (2)'!F757&gt;'зведена (БАЛАНС) (2)'!E757,'зведена (БАЛАНС) (2)'!F757-'зведена (БАЛАНС) (2)'!E757,0)</f>
        <v>10739.1</v>
      </c>
    </row>
    <row r="758" spans="1:6" x14ac:dyDescent="0.25">
      <c r="A758" s="39">
        <v>12</v>
      </c>
      <c r="B758" s="34" t="s">
        <v>983</v>
      </c>
      <c r="C758" s="18">
        <v>12530000000</v>
      </c>
      <c r="D758" s="80" t="s">
        <v>1932</v>
      </c>
      <c r="E758" s="5">
        <f>IF('зведена (БАЛАНС) (2)'!E758&gt;'зведена (БАЛАНС) (2)'!F758,'зведена (БАЛАНС) (2)'!E758-'зведена (БАЛАНС) (2)'!F758,0)</f>
        <v>0</v>
      </c>
      <c r="F758" s="5">
        <f>IF('зведена (БАЛАНС) (2)'!F758&gt;'зведена (БАЛАНС) (2)'!E758,'зведена (БАЛАНС) (2)'!F758-'зведена (БАЛАНС) (2)'!E758,0)</f>
        <v>18688.400000000001</v>
      </c>
    </row>
    <row r="759" spans="1:6" x14ac:dyDescent="0.25">
      <c r="A759" s="36">
        <v>13</v>
      </c>
      <c r="B759" s="17" t="s">
        <v>7</v>
      </c>
      <c r="C759" s="17" t="s">
        <v>790</v>
      </c>
      <c r="D759" s="11" t="s">
        <v>850</v>
      </c>
      <c r="E759" s="11">
        <f>E760+E761+E769</f>
        <v>873268.2</v>
      </c>
      <c r="F759" s="11">
        <f>F760+F761+F769</f>
        <v>1130347.0999999996</v>
      </c>
    </row>
    <row r="760" spans="1:6" x14ac:dyDescent="0.25">
      <c r="A760" s="38">
        <v>13</v>
      </c>
      <c r="B760" s="34" t="s">
        <v>6</v>
      </c>
      <c r="C760" s="18" t="s">
        <v>119</v>
      </c>
      <c r="D760" s="32" t="s">
        <v>851</v>
      </c>
      <c r="E760" s="5">
        <f>IF('зведена (БАЛАНС) (2)'!E760&gt;'зведена (БАЛАНС) (2)'!F760,'зведена (БАЛАНС) (2)'!E760-'зведена (БАЛАНС) (2)'!F760,0)</f>
        <v>0</v>
      </c>
      <c r="F760" s="5">
        <f>IF('зведена (БАЛАНС) (2)'!F760&gt;'зведена (БАЛАНС) (2)'!E760,'зведена (БАЛАНС) (2)'!F760-'зведена (БАЛАНС) (2)'!E760,0)</f>
        <v>0</v>
      </c>
    </row>
    <row r="761" spans="1:6" x14ac:dyDescent="0.25">
      <c r="A761" s="37">
        <v>13</v>
      </c>
      <c r="B761" s="19" t="s">
        <v>5</v>
      </c>
      <c r="C761" s="19" t="s">
        <v>791</v>
      </c>
      <c r="D761" s="7" t="s">
        <v>2805</v>
      </c>
      <c r="E761" s="7">
        <f>SUM(E762:E768)</f>
        <v>0</v>
      </c>
      <c r="F761" s="7">
        <f>SUM(F762:F768)</f>
        <v>0</v>
      </c>
    </row>
    <row r="762" spans="1:6" x14ac:dyDescent="0.25">
      <c r="A762" s="38">
        <v>13</v>
      </c>
      <c r="B762" s="34" t="s">
        <v>4</v>
      </c>
      <c r="C762" s="18" t="s">
        <v>120</v>
      </c>
      <c r="D762" s="32" t="s">
        <v>924</v>
      </c>
      <c r="E762" s="5">
        <f>IF('зведена (БАЛАНС) (2)'!E762&gt;'зведена (БАЛАНС) (2)'!F762,'зведена (БАЛАНС) (2)'!E762-'зведена (БАЛАНС) (2)'!F762,0)</f>
        <v>0</v>
      </c>
      <c r="F762" s="5">
        <f>IF('зведена (БАЛАНС) (2)'!F762&gt;'зведена (БАЛАНС) (2)'!E762,'зведена (БАЛАНС) (2)'!F762-'зведена (БАЛАНС) (2)'!E762,0)</f>
        <v>0</v>
      </c>
    </row>
    <row r="763" spans="1:6" x14ac:dyDescent="0.25">
      <c r="A763" s="38">
        <v>13</v>
      </c>
      <c r="B763" s="34" t="s">
        <v>4</v>
      </c>
      <c r="C763" s="18" t="s">
        <v>121</v>
      </c>
      <c r="D763" s="32" t="s">
        <v>925</v>
      </c>
      <c r="E763" s="5">
        <f>IF('зведена (БАЛАНС) (2)'!E763&gt;'зведена (БАЛАНС) (2)'!F763,'зведена (БАЛАНС) (2)'!E763-'зведена (БАЛАНС) (2)'!F763,0)</f>
        <v>0</v>
      </c>
      <c r="F763" s="5">
        <f>IF('зведена (БАЛАНС) (2)'!F763&gt;'зведена (БАЛАНС) (2)'!E763,'зведена (БАЛАНС) (2)'!F763-'зведена (БАЛАНС) (2)'!E763,0)</f>
        <v>0</v>
      </c>
    </row>
    <row r="764" spans="1:6" x14ac:dyDescent="0.25">
      <c r="A764" s="38">
        <v>13</v>
      </c>
      <c r="B764" s="34" t="s">
        <v>4</v>
      </c>
      <c r="C764" s="18" t="s">
        <v>122</v>
      </c>
      <c r="D764" s="32" t="s">
        <v>927</v>
      </c>
      <c r="E764" s="5">
        <f>IF('зведена (БАЛАНС) (2)'!E764&gt;'зведена (БАЛАНС) (2)'!F764,'зведена (БАЛАНС) (2)'!E764-'зведена (БАЛАНС) (2)'!F764,0)</f>
        <v>0</v>
      </c>
      <c r="F764" s="5">
        <f>IF('зведена (БАЛАНС) (2)'!F764&gt;'зведена (БАЛАНС) (2)'!E764,'зведена (БАЛАНС) (2)'!F764-'зведена (БАЛАНС) (2)'!E764,0)</f>
        <v>0</v>
      </c>
    </row>
    <row r="765" spans="1:6" x14ac:dyDescent="0.25">
      <c r="A765" s="38">
        <v>13</v>
      </c>
      <c r="B765" s="34" t="s">
        <v>4</v>
      </c>
      <c r="C765" s="18" t="s">
        <v>123</v>
      </c>
      <c r="D765" s="32" t="s">
        <v>928</v>
      </c>
      <c r="E765" s="5">
        <f>IF('зведена (БАЛАНС) (2)'!E765&gt;'зведена (БАЛАНС) (2)'!F765,'зведена (БАЛАНС) (2)'!E765-'зведена (БАЛАНС) (2)'!F765,0)</f>
        <v>0</v>
      </c>
      <c r="F765" s="5">
        <f>IF('зведена (БАЛАНС) (2)'!F765&gt;'зведена (БАЛАНС) (2)'!E765,'зведена (БАЛАНС) (2)'!F765-'зведена (БАЛАНС) (2)'!E765,0)</f>
        <v>0</v>
      </c>
    </row>
    <row r="766" spans="1:6" x14ac:dyDescent="0.25">
      <c r="A766" s="38">
        <v>13</v>
      </c>
      <c r="B766" s="34" t="s">
        <v>4</v>
      </c>
      <c r="C766" s="18" t="s">
        <v>124</v>
      </c>
      <c r="D766" s="32" t="s">
        <v>929</v>
      </c>
      <c r="E766" s="5">
        <f>IF('зведена (БАЛАНС) (2)'!E766&gt;'зведена (БАЛАНС) (2)'!F766,'зведена (БАЛАНС) (2)'!E766-'зведена (БАЛАНС) (2)'!F766,0)</f>
        <v>0</v>
      </c>
      <c r="F766" s="5">
        <f>IF('зведена (БАЛАНС) (2)'!F766&gt;'зведена (БАЛАНС) (2)'!E766,'зведена (БАЛАНС) (2)'!F766-'зведена (БАЛАНС) (2)'!E766,0)</f>
        <v>0</v>
      </c>
    </row>
    <row r="767" spans="1:6" x14ac:dyDescent="0.25">
      <c r="A767" s="38">
        <v>13</v>
      </c>
      <c r="B767" s="34" t="s">
        <v>4</v>
      </c>
      <c r="C767" s="18">
        <v>13321200000</v>
      </c>
      <c r="D767" s="32" t="s">
        <v>1933</v>
      </c>
      <c r="E767" s="5">
        <f>IF('зведена (БАЛАНС) (2)'!E767&gt;'зведена (БАЛАНС) (2)'!F767,'зведена (БАЛАНС) (2)'!E767-'зведена (БАЛАНС) (2)'!F767,0)</f>
        <v>0</v>
      </c>
      <c r="F767" s="5">
        <f>IF('зведена (БАЛАНС) (2)'!F767&gt;'зведена (БАЛАНС) (2)'!E767,'зведена (БАЛАНС) (2)'!F767-'зведена (БАЛАНС) (2)'!E767,0)</f>
        <v>0</v>
      </c>
    </row>
    <row r="768" spans="1:6" x14ac:dyDescent="0.25">
      <c r="A768" s="38">
        <v>13</v>
      </c>
      <c r="B768" s="34" t="s">
        <v>4</v>
      </c>
      <c r="C768" s="18">
        <v>13322200000</v>
      </c>
      <c r="D768" s="32" t="s">
        <v>1934</v>
      </c>
      <c r="E768" s="5">
        <f>IF('зведена (БАЛАНС) (2)'!E768&gt;'зведена (БАЛАНС) (2)'!F768,'зведена (БАЛАНС) (2)'!E768-'зведена (БАЛАНС) (2)'!F768,0)</f>
        <v>0</v>
      </c>
      <c r="F768" s="5">
        <f>IF('зведена (БАЛАНС) (2)'!F768&gt;'зведена (БАЛАНС) (2)'!E768,'зведена (БАЛАНС) (2)'!F768-'зведена (БАЛАНС) (2)'!E768,0)</f>
        <v>0</v>
      </c>
    </row>
    <row r="769" spans="1:6" x14ac:dyDescent="0.25">
      <c r="A769" s="37">
        <v>13</v>
      </c>
      <c r="B769" s="19" t="s">
        <v>28</v>
      </c>
      <c r="C769" s="19" t="s">
        <v>792</v>
      </c>
      <c r="D769" s="20" t="s">
        <v>2779</v>
      </c>
      <c r="E769" s="7">
        <f>SUM(E770:E842)</f>
        <v>873268.2</v>
      </c>
      <c r="F769" s="7">
        <f>SUM(F770:F842)</f>
        <v>1130347.0999999996</v>
      </c>
    </row>
    <row r="770" spans="1:6" x14ac:dyDescent="0.25">
      <c r="A770" s="38">
        <v>13</v>
      </c>
      <c r="B770" s="34" t="s">
        <v>984</v>
      </c>
      <c r="C770" s="18" t="s">
        <v>125</v>
      </c>
      <c r="D770" s="32" t="s">
        <v>1935</v>
      </c>
      <c r="E770" s="5">
        <f>IF('зведена (БАЛАНС) (2)'!E770&gt;'зведена (БАЛАНС) (2)'!F770,'зведена (БАЛАНС) (2)'!E770-'зведена (БАЛАНС) (2)'!F770,0)</f>
        <v>0</v>
      </c>
      <c r="F770" s="5">
        <f>IF('зведена (БАЛАНС) (2)'!F770&gt;'зведена (БАЛАНС) (2)'!E770,'зведена (БАЛАНС) (2)'!F770-'зведена (БАЛАНС) (2)'!E770,0)</f>
        <v>31164.5</v>
      </c>
    </row>
    <row r="771" spans="1:6" x14ac:dyDescent="0.25">
      <c r="A771" s="38">
        <v>13</v>
      </c>
      <c r="B771" s="34" t="s">
        <v>985</v>
      </c>
      <c r="C771" s="18" t="s">
        <v>126</v>
      </c>
      <c r="D771" s="32" t="s">
        <v>3017</v>
      </c>
      <c r="E771" s="5">
        <f>IF('зведена (БАЛАНС) (2)'!E771&gt;'зведена (БАЛАНС) (2)'!F771,'зведена (БАЛАНС) (2)'!E771-'зведена (БАЛАНС) (2)'!F771,0)</f>
        <v>0</v>
      </c>
      <c r="F771" s="5">
        <f>IF('зведена (БАЛАНС) (2)'!F771&gt;'зведена (БАЛАНС) (2)'!E771,'зведена (БАЛАНС) (2)'!F771-'зведена (БАЛАНС) (2)'!E771,0)</f>
        <v>6019.5</v>
      </c>
    </row>
    <row r="772" spans="1:6" x14ac:dyDescent="0.25">
      <c r="A772" s="38">
        <v>13</v>
      </c>
      <c r="B772" s="34" t="s">
        <v>984</v>
      </c>
      <c r="C772" s="18" t="s">
        <v>127</v>
      </c>
      <c r="D772" s="32" t="s">
        <v>1937</v>
      </c>
      <c r="E772" s="5">
        <f>IF('зведена (БАЛАНС) (2)'!E772&gt;'зведена (БАЛАНС) (2)'!F772,'зведена (БАЛАНС) (2)'!E772-'зведена (БАЛАНС) (2)'!F772,0)</f>
        <v>0</v>
      </c>
      <c r="F772" s="5">
        <f>IF('зведена (БАЛАНС) (2)'!F772&gt;'зведена (БАЛАНС) (2)'!E772,'зведена (БАЛАНС) (2)'!F772-'зведена (БАЛАНС) (2)'!E772,0)</f>
        <v>2791.7</v>
      </c>
    </row>
    <row r="773" spans="1:6" x14ac:dyDescent="0.25">
      <c r="A773" s="38">
        <v>13</v>
      </c>
      <c r="B773" s="34" t="s">
        <v>983</v>
      </c>
      <c r="C773" s="18" t="s">
        <v>236</v>
      </c>
      <c r="D773" s="32" t="s">
        <v>1938</v>
      </c>
      <c r="E773" s="5">
        <f>IF('зведена (БАЛАНС) (2)'!E773&gt;'зведена (БАЛАНС) (2)'!F773,'зведена (БАЛАНС) (2)'!E773-'зведена (БАЛАНС) (2)'!F773,0)</f>
        <v>0</v>
      </c>
      <c r="F773" s="5">
        <f>IF('зведена (БАЛАНС) (2)'!F773&gt;'зведена (БАЛАНС) (2)'!E773,'зведена (БАЛАНС) (2)'!F773-'зведена (БАЛАНС) (2)'!E773,0)</f>
        <v>7270.9</v>
      </c>
    </row>
    <row r="774" spans="1:6" x14ac:dyDescent="0.25">
      <c r="A774" s="38">
        <v>13</v>
      </c>
      <c r="B774" s="34" t="s">
        <v>984</v>
      </c>
      <c r="C774" s="18" t="s">
        <v>237</v>
      </c>
      <c r="D774" s="32" t="s">
        <v>1939</v>
      </c>
      <c r="E774" s="5">
        <f>IF('зведена (БАЛАНС) (2)'!E774&gt;'зведена (БАЛАНС) (2)'!F774,'зведена (БАЛАНС) (2)'!E774-'зведена (БАЛАНС) (2)'!F774,0)</f>
        <v>0</v>
      </c>
      <c r="F774" s="5">
        <f>IF('зведена (БАЛАНС) (2)'!F774&gt;'зведена (БАЛАНС) (2)'!E774,'зведена (БАЛАНС) (2)'!F774-'зведена (БАЛАНС) (2)'!E774,0)</f>
        <v>7146.3</v>
      </c>
    </row>
    <row r="775" spans="1:6" x14ac:dyDescent="0.25">
      <c r="A775" s="38">
        <v>13</v>
      </c>
      <c r="B775" s="34" t="s">
        <v>983</v>
      </c>
      <c r="C775" s="18" t="s">
        <v>286</v>
      </c>
      <c r="D775" s="32" t="s">
        <v>1940</v>
      </c>
      <c r="E775" s="5">
        <f>IF('зведена (БАЛАНС) (2)'!E775&gt;'зведена (БАЛАНС) (2)'!F775,'зведена (БАЛАНС) (2)'!E775-'зведена (БАЛАНС) (2)'!F775,0)</f>
        <v>0</v>
      </c>
      <c r="F775" s="5">
        <f>IF('зведена (БАЛАНС) (2)'!F775&gt;'зведена (БАЛАНС) (2)'!E775,'зведена (БАЛАНС) (2)'!F775-'зведена (БАЛАНС) (2)'!E775,0)</f>
        <v>29117.200000000001</v>
      </c>
    </row>
    <row r="776" spans="1:6" x14ac:dyDescent="0.25">
      <c r="A776" s="38">
        <v>13</v>
      </c>
      <c r="B776" s="34" t="s">
        <v>983</v>
      </c>
      <c r="C776" s="18" t="s">
        <v>379</v>
      </c>
      <c r="D776" s="32" t="s">
        <v>1941</v>
      </c>
      <c r="E776" s="5">
        <f>IF('зведена (БАЛАНС) (2)'!E776&gt;'зведена (БАЛАНС) (2)'!F776,'зведена (БАЛАНС) (2)'!E776-'зведена (БАЛАНС) (2)'!F776,0)</f>
        <v>0</v>
      </c>
      <c r="F776" s="5">
        <f>IF('зведена (БАЛАНС) (2)'!F776&gt;'зведена (БАЛАНС) (2)'!E776,'зведена (БАЛАНС) (2)'!F776-'зведена (БАЛАНС) (2)'!E776,0)</f>
        <v>34162.300000000003</v>
      </c>
    </row>
    <row r="777" spans="1:6" x14ac:dyDescent="0.25">
      <c r="A777" s="38">
        <v>13</v>
      </c>
      <c r="B777" s="34" t="s">
        <v>983</v>
      </c>
      <c r="C777" s="18" t="s">
        <v>380</v>
      </c>
      <c r="D777" s="32" t="s">
        <v>1942</v>
      </c>
      <c r="E777" s="5">
        <f>IF('зведена (БАЛАНС) (2)'!E777&gt;'зведена (БАЛАНС) (2)'!F777,'зведена (БАЛАНС) (2)'!E777-'зведена (БАЛАНС) (2)'!F777,0)</f>
        <v>0</v>
      </c>
      <c r="F777" s="5">
        <f>IF('зведена (БАЛАНС) (2)'!F777&gt;'зведена (БАЛАНС) (2)'!E777,'зведена (БАЛАНС) (2)'!F777-'зведена (БАЛАНС) (2)'!E777,0)</f>
        <v>20429.599999999999</v>
      </c>
    </row>
    <row r="778" spans="1:6" s="28" customFormat="1" x14ac:dyDescent="0.25">
      <c r="A778" s="38">
        <v>13</v>
      </c>
      <c r="B778" s="34" t="s">
        <v>984</v>
      </c>
      <c r="C778" s="18" t="s">
        <v>381</v>
      </c>
      <c r="D778" s="32" t="s">
        <v>1943</v>
      </c>
      <c r="E778" s="5">
        <f>IF('зведена (БАЛАНС) (2)'!E778&gt;'зведена (БАЛАНС) (2)'!F778,'зведена (БАЛАНС) (2)'!E778-'зведена (БАЛАНС) (2)'!F778,0)</f>
        <v>0</v>
      </c>
      <c r="F778" s="5">
        <f>IF('зведена (БАЛАНС) (2)'!F778&gt;'зведена (БАЛАНС) (2)'!E778,'зведена (БАЛАНС) (2)'!F778-'зведена (БАЛАНС) (2)'!E778,0)</f>
        <v>7497.1</v>
      </c>
    </row>
    <row r="779" spans="1:6" s="28" customFormat="1" x14ac:dyDescent="0.25">
      <c r="A779" s="38">
        <v>13</v>
      </c>
      <c r="B779" s="34" t="s">
        <v>984</v>
      </c>
      <c r="C779" s="18" t="s">
        <v>382</v>
      </c>
      <c r="D779" s="32" t="s">
        <v>1944</v>
      </c>
      <c r="E779" s="5">
        <f>IF('зведена (БАЛАНС) (2)'!E779&gt;'зведена (БАЛАНС) (2)'!F779,'зведена (БАЛАНС) (2)'!E779-'зведена (БАЛАНС) (2)'!F779,0)</f>
        <v>0</v>
      </c>
      <c r="F779" s="5">
        <f>IF('зведена (БАЛАНС) (2)'!F779&gt;'зведена (БАЛАНС) (2)'!E779,'зведена (БАЛАНС) (2)'!F779-'зведена (БАЛАНС) (2)'!E779,0)</f>
        <v>0</v>
      </c>
    </row>
    <row r="780" spans="1:6" s="28" customFormat="1" x14ac:dyDescent="0.25">
      <c r="A780" s="38">
        <v>13</v>
      </c>
      <c r="B780" s="34" t="s">
        <v>984</v>
      </c>
      <c r="C780" s="18" t="s">
        <v>383</v>
      </c>
      <c r="D780" s="32" t="s">
        <v>3018</v>
      </c>
      <c r="E780" s="5">
        <f>IF('зведена (БАЛАНС) (2)'!E780&gt;'зведена (БАЛАНС) (2)'!F780,'зведена (БАЛАНС) (2)'!E780-'зведена (БАЛАНС) (2)'!F780,0)</f>
        <v>0</v>
      </c>
      <c r="F780" s="5">
        <f>IF('зведена (БАЛАНС) (2)'!F780&gt;'зведена (БАЛАНС) (2)'!E780,'зведена (БАЛАНС) (2)'!F780-'зведена (БАЛАНС) (2)'!E780,0)</f>
        <v>4902.3999999999996</v>
      </c>
    </row>
    <row r="781" spans="1:6" s="28" customFormat="1" x14ac:dyDescent="0.25">
      <c r="A781" s="38">
        <v>13</v>
      </c>
      <c r="B781" s="34" t="s">
        <v>985</v>
      </c>
      <c r="C781" s="18" t="s">
        <v>488</v>
      </c>
      <c r="D781" s="32" t="s">
        <v>1946</v>
      </c>
      <c r="E781" s="5">
        <f>IF('зведена (БАЛАНС) (2)'!E781&gt;'зведена (БАЛАНС) (2)'!F781,'зведена (БАЛАНС) (2)'!E781-'зведена (БАЛАНС) (2)'!F781,0)</f>
        <v>0</v>
      </c>
      <c r="F781" s="5">
        <f>IF('зведена (БАЛАНС) (2)'!F781&gt;'зведена (БАЛАНС) (2)'!E781,'зведена (БАЛАНС) (2)'!F781-'зведена (БАЛАНС) (2)'!E781,0)</f>
        <v>12195.8</v>
      </c>
    </row>
    <row r="782" spans="1:6" s="28" customFormat="1" x14ac:dyDescent="0.25">
      <c r="A782" s="38">
        <v>13</v>
      </c>
      <c r="B782" s="34" t="s">
        <v>984</v>
      </c>
      <c r="C782" s="18" t="s">
        <v>489</v>
      </c>
      <c r="D782" s="32" t="s">
        <v>1947</v>
      </c>
      <c r="E782" s="5">
        <f>IF('зведена (БАЛАНС) (2)'!E782&gt;'зведена (БАЛАНС) (2)'!F782,'зведена (БАЛАНС) (2)'!E782-'зведена (БАЛАНС) (2)'!F782,0)</f>
        <v>0</v>
      </c>
      <c r="F782" s="5">
        <f>IF('зведена (БАЛАНС) (2)'!F782&gt;'зведена (БАЛАНС) (2)'!E782,'зведена (БАЛАНС) (2)'!F782-'зведена (БАЛАНС) (2)'!E782,0)</f>
        <v>14729.6</v>
      </c>
    </row>
    <row r="783" spans="1:6" s="28" customFormat="1" x14ac:dyDescent="0.25">
      <c r="A783" s="38">
        <v>13</v>
      </c>
      <c r="B783" s="34" t="s">
        <v>984</v>
      </c>
      <c r="C783" s="18" t="s">
        <v>581</v>
      </c>
      <c r="D783" s="32" t="s">
        <v>1948</v>
      </c>
      <c r="E783" s="5">
        <f>IF('зведена (БАЛАНС) (2)'!E783&gt;'зведена (БАЛАНС) (2)'!F783,'зведена (БАЛАНС) (2)'!E783-'зведена (БАЛАНС) (2)'!F783,0)</f>
        <v>0</v>
      </c>
      <c r="F783" s="5">
        <f>IF('зведена (БАЛАНС) (2)'!F783&gt;'зведена (БАЛАНС) (2)'!E783,'зведена (БАЛАНС) (2)'!F783-'зведена (БАЛАНС) (2)'!E783,0)</f>
        <v>10438.299999999999</v>
      </c>
    </row>
    <row r="784" spans="1:6" s="28" customFormat="1" x14ac:dyDescent="0.25">
      <c r="A784" s="38">
        <v>13</v>
      </c>
      <c r="B784" s="34" t="s">
        <v>984</v>
      </c>
      <c r="C784" s="18" t="s">
        <v>582</v>
      </c>
      <c r="D784" s="32" t="s">
        <v>1949</v>
      </c>
      <c r="E784" s="5">
        <f>IF('зведена (БАЛАНС) (2)'!E784&gt;'зведена (БАЛАНС) (2)'!F784,'зведена (БАЛАНС) (2)'!E784-'зведена (БАЛАНС) (2)'!F784,0)</f>
        <v>3976.7</v>
      </c>
      <c r="F784" s="5">
        <f>IF('зведена (БАЛАНС) (2)'!F784&gt;'зведена (БАЛАНС) (2)'!E784,'зведена (БАЛАНС) (2)'!F784-'зведена (БАЛАНС) (2)'!E784,0)</f>
        <v>0</v>
      </c>
    </row>
    <row r="785" spans="1:6" s="28" customFormat="1" x14ac:dyDescent="0.25">
      <c r="A785" s="38">
        <v>13</v>
      </c>
      <c r="B785" s="34" t="s">
        <v>985</v>
      </c>
      <c r="C785" s="18" t="s">
        <v>583</v>
      </c>
      <c r="D785" s="32" t="s">
        <v>1950</v>
      </c>
      <c r="E785" s="5">
        <f>IF('зведена (БАЛАНС) (2)'!E785&gt;'зведена (БАЛАНС) (2)'!F785,'зведена (БАЛАНС) (2)'!E785-'зведена (БАЛАНС) (2)'!F785,0)</f>
        <v>0</v>
      </c>
      <c r="F785" s="5">
        <f>IF('зведена (БАЛАНС) (2)'!F785&gt;'зведена (БАЛАНС) (2)'!E785,'зведена (БАЛАНС) (2)'!F785-'зведена (БАЛАНС) (2)'!E785,0)</f>
        <v>16751.7</v>
      </c>
    </row>
    <row r="786" spans="1:6" s="28" customFormat="1" x14ac:dyDescent="0.25">
      <c r="A786" s="38">
        <v>13</v>
      </c>
      <c r="B786" s="34" t="s">
        <v>983</v>
      </c>
      <c r="C786" s="18" t="s">
        <v>584</v>
      </c>
      <c r="D786" s="32" t="s">
        <v>1951</v>
      </c>
      <c r="E786" s="5">
        <f>IF('зведена (БАЛАНС) (2)'!E786&gt;'зведена (БАЛАНС) (2)'!F786,'зведена (БАЛАНС) (2)'!E786-'зведена (БАЛАНС) (2)'!F786,0)</f>
        <v>0</v>
      </c>
      <c r="F786" s="5">
        <f>IF('зведена (БАЛАНС) (2)'!F786&gt;'зведена (БАЛАНС) (2)'!E786,'зведена (БАЛАНС) (2)'!F786-'зведена (БАЛАНС) (2)'!E786,0)</f>
        <v>39956.5</v>
      </c>
    </row>
    <row r="787" spans="1:6" s="28" customFormat="1" x14ac:dyDescent="0.25">
      <c r="A787" s="38">
        <v>13</v>
      </c>
      <c r="B787" s="34" t="s">
        <v>985</v>
      </c>
      <c r="C787" s="18" t="s">
        <v>585</v>
      </c>
      <c r="D787" s="32" t="s">
        <v>1952</v>
      </c>
      <c r="E787" s="5">
        <f>IF('зведена (БАЛАНС) (2)'!E787&gt;'зведена (БАЛАНС) (2)'!F787,'зведена (БАЛАНС) (2)'!E787-'зведена (БАЛАНС) (2)'!F787,0)</f>
        <v>50357.4</v>
      </c>
      <c r="F787" s="5">
        <f>IF('зведена (БАЛАНС) (2)'!F787&gt;'зведена (БАЛАНС) (2)'!E787,'зведена (БАЛАНС) (2)'!F787-'зведена (БАЛАНС) (2)'!E787,0)</f>
        <v>0</v>
      </c>
    </row>
    <row r="788" spans="1:6" s="28" customFormat="1" x14ac:dyDescent="0.25">
      <c r="A788" s="38">
        <v>13</v>
      </c>
      <c r="B788" s="34" t="s">
        <v>983</v>
      </c>
      <c r="C788" s="18" t="s">
        <v>586</v>
      </c>
      <c r="D788" s="32" t="s">
        <v>1953</v>
      </c>
      <c r="E788" s="5">
        <f>IF('зведена (БАЛАНС) (2)'!E788&gt;'зведена (БАЛАНС) (2)'!F788,'зведена (БАЛАНС) (2)'!E788-'зведена (БАЛАНС) (2)'!F788,0)</f>
        <v>0</v>
      </c>
      <c r="F788" s="5">
        <f>IF('зведена (БАЛАНС) (2)'!F788&gt;'зведена (БАЛАНС) (2)'!E788,'зведена (БАЛАНС) (2)'!F788-'зведена (БАЛАНС) (2)'!E788,0)</f>
        <v>8191.2</v>
      </c>
    </row>
    <row r="789" spans="1:6" s="28" customFormat="1" x14ac:dyDescent="0.25">
      <c r="A789" s="38">
        <v>13</v>
      </c>
      <c r="B789" s="34" t="s">
        <v>983</v>
      </c>
      <c r="C789" s="18" t="s">
        <v>697</v>
      </c>
      <c r="D789" s="32" t="s">
        <v>1954</v>
      </c>
      <c r="E789" s="5">
        <f>IF('зведена (БАЛАНС) (2)'!E789&gt;'зведена (БАЛАНС) (2)'!F789,'зведена (БАЛАНС) (2)'!E789-'зведена (БАЛАНС) (2)'!F789,0)</f>
        <v>612.20000000000005</v>
      </c>
      <c r="F789" s="5">
        <f>IF('зведена (БАЛАНС) (2)'!F789&gt;'зведена (БАЛАНС) (2)'!E789,'зведена (БАЛАНС) (2)'!F789-'зведена (БАЛАНС) (2)'!E789,0)</f>
        <v>0</v>
      </c>
    </row>
    <row r="790" spans="1:6" s="28" customFormat="1" x14ac:dyDescent="0.25">
      <c r="A790" s="38">
        <v>13</v>
      </c>
      <c r="B790" s="34" t="s">
        <v>984</v>
      </c>
      <c r="C790" s="18" t="s">
        <v>698</v>
      </c>
      <c r="D790" s="32" t="s">
        <v>3019</v>
      </c>
      <c r="E790" s="5">
        <f>IF('зведена (БАЛАНС) (2)'!E790&gt;'зведена (БАЛАНС) (2)'!F790,'зведена (БАЛАНС) (2)'!E790-'зведена (БАЛАНС) (2)'!F790,0)</f>
        <v>0</v>
      </c>
      <c r="F790" s="5">
        <f>IF('зведена (БАЛАНС) (2)'!F790&gt;'зведена (БАЛАНС) (2)'!E790,'зведена (БАЛАНС) (2)'!F790-'зведена (БАЛАНС) (2)'!E790,0)</f>
        <v>3366.2</v>
      </c>
    </row>
    <row r="791" spans="1:6" s="28" customFormat="1" x14ac:dyDescent="0.25">
      <c r="A791" s="38">
        <v>13</v>
      </c>
      <c r="B791" s="34" t="s">
        <v>983</v>
      </c>
      <c r="C791" s="18">
        <v>13536000000</v>
      </c>
      <c r="D791" s="32" t="s">
        <v>1956</v>
      </c>
      <c r="E791" s="5">
        <f>IF('зведена (БАЛАНС) (2)'!E791&gt;'зведена (БАЛАНС) (2)'!F791,'зведена (БАЛАНС) (2)'!E791-'зведена (БАЛАНС) (2)'!F791,0)</f>
        <v>0</v>
      </c>
      <c r="F791" s="5">
        <f>IF('зведена (БАЛАНС) (2)'!F791&gt;'зведена (БАЛАНС) (2)'!E791,'зведена (БАЛАНС) (2)'!F791-'зведена (БАЛАНС) (2)'!E791,0)</f>
        <v>19544.2</v>
      </c>
    </row>
    <row r="792" spans="1:6" s="28" customFormat="1" x14ac:dyDescent="0.25">
      <c r="A792" s="38">
        <v>13</v>
      </c>
      <c r="B792" s="34" t="s">
        <v>984</v>
      </c>
      <c r="C792" s="18">
        <v>13537000000</v>
      </c>
      <c r="D792" s="32" t="s">
        <v>1957</v>
      </c>
      <c r="E792" s="5">
        <f>IF('зведена (БАЛАНС) (2)'!E792&gt;'зведена (БАЛАНС) (2)'!F792,'зведена (БАЛАНС) (2)'!E792-'зведена (БАЛАНС) (2)'!F792,0)</f>
        <v>0</v>
      </c>
      <c r="F792" s="5">
        <f>IF('зведена (БАЛАНС) (2)'!F792&gt;'зведена (БАЛАНС) (2)'!E792,'зведена (БАЛАНС) (2)'!F792-'зведена (БАЛАНС) (2)'!E792,0)</f>
        <v>25636.1</v>
      </c>
    </row>
    <row r="793" spans="1:6" s="28" customFormat="1" x14ac:dyDescent="0.25">
      <c r="A793" s="38">
        <v>13</v>
      </c>
      <c r="B793" s="34" t="s">
        <v>985</v>
      </c>
      <c r="C793" s="18">
        <v>13538000000</v>
      </c>
      <c r="D793" s="32" t="s">
        <v>1958</v>
      </c>
      <c r="E793" s="5">
        <f>IF('зведена (БАЛАНС) (2)'!E793&gt;'зведена (БАЛАНС) (2)'!F793,'зведена (БАЛАНС) (2)'!E793-'зведена (БАЛАНС) (2)'!F793,0)</f>
        <v>0</v>
      </c>
      <c r="F793" s="5">
        <f>IF('зведена (БАЛАНС) (2)'!F793&gt;'зведена (БАЛАНС) (2)'!E793,'зведена (БАЛАНС) (2)'!F793-'зведена (БАЛАНС) (2)'!E793,0)</f>
        <v>18340.5</v>
      </c>
    </row>
    <row r="794" spans="1:6" s="28" customFormat="1" x14ac:dyDescent="0.25">
      <c r="A794" s="38">
        <v>13</v>
      </c>
      <c r="B794" s="34" t="s">
        <v>985</v>
      </c>
      <c r="C794" s="18">
        <v>13539000000</v>
      </c>
      <c r="D794" s="32" t="s">
        <v>1959</v>
      </c>
      <c r="E794" s="5">
        <f>IF('зведена (БАЛАНС) (2)'!E794&gt;'зведена (БАЛАНС) (2)'!F794,'зведена (БАЛАНС) (2)'!E794-'зведена (БАЛАНС) (2)'!F794,0)</f>
        <v>0</v>
      </c>
      <c r="F794" s="5">
        <f>IF('зведена (БАЛАНС) (2)'!F794&gt;'зведена (БАЛАНС) (2)'!E794,'зведена (БАЛАНС) (2)'!F794-'зведена (БАЛАНС) (2)'!E794,0)</f>
        <v>27507.8</v>
      </c>
    </row>
    <row r="795" spans="1:6" s="28" customFormat="1" x14ac:dyDescent="0.25">
      <c r="A795" s="38">
        <v>13</v>
      </c>
      <c r="B795" s="34" t="s">
        <v>983</v>
      </c>
      <c r="C795" s="18">
        <v>13540000000</v>
      </c>
      <c r="D795" s="32" t="s">
        <v>1960</v>
      </c>
      <c r="E795" s="5">
        <f>IF('зведена (БАЛАНС) (2)'!E795&gt;'зведена (БАЛАНС) (2)'!F795,'зведена (БАЛАНС) (2)'!E795-'зведена (БАЛАНС) (2)'!F795,0)</f>
        <v>0</v>
      </c>
      <c r="F795" s="5">
        <f>IF('зведена (БАЛАНС) (2)'!F795&gt;'зведена (БАЛАНС) (2)'!E795,'зведена (БАЛАНС) (2)'!F795-'зведена (БАЛАНС) (2)'!E795,0)</f>
        <v>1074.8</v>
      </c>
    </row>
    <row r="796" spans="1:6" s="28" customFormat="1" x14ac:dyDescent="0.25">
      <c r="A796" s="38">
        <v>13</v>
      </c>
      <c r="B796" s="34" t="s">
        <v>983</v>
      </c>
      <c r="C796" s="30" t="s">
        <v>1961</v>
      </c>
      <c r="D796" s="32" t="s">
        <v>1962</v>
      </c>
      <c r="E796" s="5">
        <f>IF('зведена (БАЛАНС) (2)'!E796&gt;'зведена (БАЛАНС) (2)'!F796,'зведена (БАЛАНС) (2)'!E796-'зведена (БАЛАНС) (2)'!F796,0)</f>
        <v>0</v>
      </c>
      <c r="F796" s="5">
        <f>IF('зведена (БАЛАНС) (2)'!F796&gt;'зведена (БАЛАНС) (2)'!E796,'зведена (БАЛАНС) (2)'!F796-'зведена (БАЛАНС) (2)'!E796,0)</f>
        <v>2310.1</v>
      </c>
    </row>
    <row r="797" spans="1:6" s="28" customFormat="1" x14ac:dyDescent="0.25">
      <c r="A797" s="38">
        <v>13</v>
      </c>
      <c r="B797" s="34" t="s">
        <v>985</v>
      </c>
      <c r="C797" s="30" t="s">
        <v>1963</v>
      </c>
      <c r="D797" s="32" t="s">
        <v>1964</v>
      </c>
      <c r="E797" s="5">
        <f>IF('зведена (БАЛАНС) (2)'!E797&gt;'зведена (БАЛАНС) (2)'!F797,'зведена (БАЛАНС) (2)'!E797-'зведена (БАЛАНС) (2)'!F797,0)</f>
        <v>0</v>
      </c>
      <c r="F797" s="5">
        <f>IF('зведена (БАЛАНС) (2)'!F797&gt;'зведена (БАЛАНС) (2)'!E797,'зведена (БАЛАНС) (2)'!F797-'зведена (БАЛАНС) (2)'!E797,0)</f>
        <v>42095.8</v>
      </c>
    </row>
    <row r="798" spans="1:6" s="28" customFormat="1" x14ac:dyDescent="0.25">
      <c r="A798" s="38">
        <v>13</v>
      </c>
      <c r="B798" s="34" t="s">
        <v>986</v>
      </c>
      <c r="C798" s="30" t="s">
        <v>1965</v>
      </c>
      <c r="D798" s="32" t="s">
        <v>3020</v>
      </c>
      <c r="E798" s="5">
        <f>IF('зведена (БАЛАНС) (2)'!E798&gt;'зведена (БАЛАНС) (2)'!F798,'зведена (БАЛАНС) (2)'!E798-'зведена (БАЛАНС) (2)'!F798,0)</f>
        <v>0</v>
      </c>
      <c r="F798" s="5">
        <f>IF('зведена (БАЛАНС) (2)'!F798&gt;'зведена (БАЛАНС) (2)'!E798,'зведена (БАЛАНС) (2)'!F798-'зведена (БАЛАНС) (2)'!E798,0)</f>
        <v>22146.7</v>
      </c>
    </row>
    <row r="799" spans="1:6" s="28" customFormat="1" x14ac:dyDescent="0.25">
      <c r="A799" s="38">
        <v>13</v>
      </c>
      <c r="B799" s="34" t="s">
        <v>983</v>
      </c>
      <c r="C799" s="30" t="s">
        <v>1967</v>
      </c>
      <c r="D799" s="32" t="s">
        <v>2830</v>
      </c>
      <c r="E799" s="5">
        <f>IF('зведена (БАЛАНС) (2)'!E799&gt;'зведена (БАЛАНС) (2)'!F799,'зведена (БАЛАНС) (2)'!E799-'зведена (БАЛАНС) (2)'!F799,0)</f>
        <v>0</v>
      </c>
      <c r="F799" s="5">
        <f>IF('зведена (БАЛАНС) (2)'!F799&gt;'зведена (БАЛАНС) (2)'!E799,'зведена (БАЛАНС) (2)'!F799-'зведена (БАЛАНС) (2)'!E799,0)</f>
        <v>0</v>
      </c>
    </row>
    <row r="800" spans="1:6" s="28" customFormat="1" x14ac:dyDescent="0.25">
      <c r="A800" s="38">
        <v>13</v>
      </c>
      <c r="B800" s="34" t="s">
        <v>983</v>
      </c>
      <c r="C800" s="30" t="s">
        <v>1968</v>
      </c>
      <c r="D800" s="32" t="s">
        <v>3021</v>
      </c>
      <c r="E800" s="5">
        <f>IF('зведена (БАЛАНС) (2)'!E800&gt;'зведена (БАЛАНС) (2)'!F800,'зведена (БАЛАНС) (2)'!E800-'зведена (БАЛАНС) (2)'!F800,0)</f>
        <v>0</v>
      </c>
      <c r="F800" s="5">
        <f>IF('зведена (БАЛАНС) (2)'!F800&gt;'зведена (БАЛАНС) (2)'!E800,'зведена (БАЛАНС) (2)'!F800-'зведена (БАЛАНС) (2)'!E800,0)</f>
        <v>16439</v>
      </c>
    </row>
    <row r="801" spans="1:6" s="28" customFormat="1" x14ac:dyDescent="0.25">
      <c r="A801" s="38">
        <v>13</v>
      </c>
      <c r="B801" s="34" t="s">
        <v>983</v>
      </c>
      <c r="C801" s="30" t="s">
        <v>1970</v>
      </c>
      <c r="D801" s="32" t="s">
        <v>3022</v>
      </c>
      <c r="E801" s="5">
        <f>IF('зведена (БАЛАНС) (2)'!E801&gt;'зведена (БАЛАНС) (2)'!F801,'зведена (БАЛАНС) (2)'!E801-'зведена (БАЛАНС) (2)'!F801,0)</f>
        <v>0</v>
      </c>
      <c r="F801" s="5">
        <f>IF('зведена (БАЛАНС) (2)'!F801&gt;'зведена (БАЛАНС) (2)'!E801,'зведена (БАЛАНС) (2)'!F801-'зведена (БАЛАНС) (2)'!E801,0)</f>
        <v>10701.9</v>
      </c>
    </row>
    <row r="802" spans="1:6" s="28" customFormat="1" x14ac:dyDescent="0.25">
      <c r="A802" s="38">
        <v>13</v>
      </c>
      <c r="B802" s="34" t="s">
        <v>983</v>
      </c>
      <c r="C802" s="30" t="s">
        <v>1972</v>
      </c>
      <c r="D802" s="32" t="s">
        <v>2535</v>
      </c>
      <c r="E802" s="5">
        <f>IF('зведена (БАЛАНС) (2)'!E802&gt;'зведена (БАЛАНС) (2)'!F802,'зведена (БАЛАНС) (2)'!E802-'зведена (БАЛАНС) (2)'!F802,0)</f>
        <v>0</v>
      </c>
      <c r="F802" s="5">
        <f>IF('зведена (БАЛАНС) (2)'!F802&gt;'зведена (БАЛАНС) (2)'!E802,'зведена (БАЛАНС) (2)'!F802-'зведена (БАЛАНС) (2)'!E802,0)</f>
        <v>3122</v>
      </c>
    </row>
    <row r="803" spans="1:6" s="27" customFormat="1" ht="31.5" x14ac:dyDescent="0.25">
      <c r="A803" s="38">
        <v>13</v>
      </c>
      <c r="B803" s="34" t="s">
        <v>984</v>
      </c>
      <c r="C803" s="30" t="s">
        <v>1974</v>
      </c>
      <c r="D803" s="32" t="s">
        <v>1975</v>
      </c>
      <c r="E803" s="5">
        <f>IF('зведена (БАЛАНС) (2)'!E803&gt;'зведена (БАЛАНС) (2)'!F803,'зведена (БАЛАНС) (2)'!E803-'зведена (БАЛАНС) (2)'!F803,0)</f>
        <v>0</v>
      </c>
      <c r="F803" s="5">
        <f>IF('зведена (БАЛАНС) (2)'!F803&gt;'зведена (БАЛАНС) (2)'!E803,'зведена (БАЛАНС) (2)'!F803-'зведена (БАЛАНС) (2)'!E803,0)</f>
        <v>14710</v>
      </c>
    </row>
    <row r="804" spans="1:6" x14ac:dyDescent="0.25">
      <c r="A804" s="38">
        <v>13</v>
      </c>
      <c r="B804" s="34" t="s">
        <v>983</v>
      </c>
      <c r="C804" s="30" t="s">
        <v>1976</v>
      </c>
      <c r="D804" s="32" t="s">
        <v>3023</v>
      </c>
      <c r="E804" s="5">
        <f>IF('зведена (БАЛАНС) (2)'!E804&gt;'зведена (БАЛАНС) (2)'!F804,'зведена (БАЛАНС) (2)'!E804-'зведена (БАЛАНС) (2)'!F804,0)</f>
        <v>0</v>
      </c>
      <c r="F804" s="5">
        <f>IF('зведена (БАЛАНС) (2)'!F804&gt;'зведена (БАЛАНС) (2)'!E804,'зведена (БАЛАНС) (2)'!F804-'зведена (БАЛАНС) (2)'!E804,0)</f>
        <v>33909.599999999999</v>
      </c>
    </row>
    <row r="805" spans="1:6" ht="31.5" x14ac:dyDescent="0.25">
      <c r="A805" s="38">
        <v>13</v>
      </c>
      <c r="B805" s="34" t="s">
        <v>985</v>
      </c>
      <c r="C805" s="30" t="s">
        <v>1978</v>
      </c>
      <c r="D805" s="32" t="s">
        <v>3024</v>
      </c>
      <c r="E805" s="5">
        <f>IF('зведена (БАЛАНС) (2)'!E805&gt;'зведена (БАЛАНС) (2)'!F805,'зведена (БАЛАНС) (2)'!E805-'зведена (БАЛАНС) (2)'!F805,0)</f>
        <v>0</v>
      </c>
      <c r="F805" s="5">
        <f>IF('зведена (БАЛАНС) (2)'!F805&gt;'зведена (БАЛАНС) (2)'!E805,'зведена (БАЛАНС) (2)'!F805-'зведена (БАЛАНС) (2)'!E805,0)</f>
        <v>27891</v>
      </c>
    </row>
    <row r="806" spans="1:6" x14ac:dyDescent="0.25">
      <c r="A806" s="38">
        <v>13</v>
      </c>
      <c r="B806" s="34" t="s">
        <v>985</v>
      </c>
      <c r="C806" s="30" t="s">
        <v>1980</v>
      </c>
      <c r="D806" s="32" t="s">
        <v>3025</v>
      </c>
      <c r="E806" s="5">
        <f>IF('зведена (БАЛАНС) (2)'!E806&gt;'зведена (БАЛАНС) (2)'!F806,'зведена (БАЛАНС) (2)'!E806-'зведена (БАЛАНС) (2)'!F806,0)</f>
        <v>0</v>
      </c>
      <c r="F806" s="5">
        <f>IF('зведена (БАЛАНС) (2)'!F806&gt;'зведена (БАЛАНС) (2)'!E806,'зведена (БАЛАНС) (2)'!F806-'зведена (БАЛАНС) (2)'!E806,0)</f>
        <v>0</v>
      </c>
    </row>
    <row r="807" spans="1:6" x14ac:dyDescent="0.25">
      <c r="A807" s="38">
        <v>13</v>
      </c>
      <c r="B807" s="34" t="s">
        <v>986</v>
      </c>
      <c r="C807" s="30" t="s">
        <v>1982</v>
      </c>
      <c r="D807" s="32" t="s">
        <v>3026</v>
      </c>
      <c r="E807" s="5">
        <f>IF('зведена (БАЛАНС) (2)'!E807&gt;'зведена (БАЛАНС) (2)'!F807,'зведена (БАЛАНС) (2)'!E807-'зведена (БАЛАНС) (2)'!F807,0)</f>
        <v>0</v>
      </c>
      <c r="F807" s="5">
        <f>IF('зведена (БАЛАНС) (2)'!F807&gt;'зведена (БАЛАНС) (2)'!E807,'зведена (БАЛАНС) (2)'!F807-'зведена (БАЛАНС) (2)'!E807,0)</f>
        <v>110409.7</v>
      </c>
    </row>
    <row r="808" spans="1:6" x14ac:dyDescent="0.25">
      <c r="A808" s="38">
        <v>13</v>
      </c>
      <c r="B808" s="34" t="s">
        <v>983</v>
      </c>
      <c r="C808" s="30" t="s">
        <v>1984</v>
      </c>
      <c r="D808" s="32" t="s">
        <v>3027</v>
      </c>
      <c r="E808" s="5">
        <f>IF('зведена (БАЛАНС) (2)'!E808&gt;'зведена (БАЛАНС) (2)'!F808,'зведена (БАЛАНС) (2)'!E808-'зведена (БАЛАНС) (2)'!F808,0)</f>
        <v>0</v>
      </c>
      <c r="F808" s="5">
        <f>IF('зведена (БАЛАНС) (2)'!F808&gt;'зведена (БАЛАНС) (2)'!E808,'зведена (БАЛАНС) (2)'!F808-'зведена (БАЛАНС) (2)'!E808,0)</f>
        <v>0</v>
      </c>
    </row>
    <row r="809" spans="1:6" x14ac:dyDescent="0.25">
      <c r="A809" s="38">
        <v>13</v>
      </c>
      <c r="B809" s="34" t="s">
        <v>983</v>
      </c>
      <c r="C809" s="30" t="s">
        <v>1986</v>
      </c>
      <c r="D809" s="32" t="s">
        <v>3028</v>
      </c>
      <c r="E809" s="5">
        <f>IF('зведена (БАЛАНС) (2)'!E809&gt;'зведена (БАЛАНС) (2)'!F809,'зведена (БАЛАНС) (2)'!E809-'зведена (БАЛАНС) (2)'!F809,0)</f>
        <v>0</v>
      </c>
      <c r="F809" s="5">
        <f>IF('зведена (БАЛАНС) (2)'!F809&gt;'зведена (БАЛАНС) (2)'!E809,'зведена (БАЛАНС) (2)'!F809-'зведена (БАЛАНС) (2)'!E809,0)</f>
        <v>20076.5</v>
      </c>
    </row>
    <row r="810" spans="1:6" x14ac:dyDescent="0.25">
      <c r="A810" s="38">
        <v>13</v>
      </c>
      <c r="B810" s="34" t="s">
        <v>985</v>
      </c>
      <c r="C810" s="30" t="s">
        <v>1988</v>
      </c>
      <c r="D810" s="32" t="s">
        <v>3029</v>
      </c>
      <c r="E810" s="5">
        <f>IF('зведена (БАЛАНС) (2)'!E810&gt;'зведена (БАЛАНС) (2)'!F810,'зведена (БАЛАНС) (2)'!E810-'зведена (БАЛАНС) (2)'!F810,0)</f>
        <v>0</v>
      </c>
      <c r="F810" s="5">
        <f>IF('зведена (БАЛАНС) (2)'!F810&gt;'зведена (БАЛАНС) (2)'!E810,'зведена (БАЛАНС) (2)'!F810-'зведена (БАЛАНС) (2)'!E810,0)</f>
        <v>20801.400000000001</v>
      </c>
    </row>
    <row r="811" spans="1:6" x14ac:dyDescent="0.25">
      <c r="A811" s="38">
        <v>13</v>
      </c>
      <c r="B811" s="34" t="s">
        <v>983</v>
      </c>
      <c r="C811" s="30" t="s">
        <v>1990</v>
      </c>
      <c r="D811" s="32" t="s">
        <v>3030</v>
      </c>
      <c r="E811" s="5">
        <f>IF('зведена (БАЛАНС) (2)'!E811&gt;'зведена (БАЛАНС) (2)'!F811,'зведена (БАЛАНС) (2)'!E811-'зведена (БАЛАНС) (2)'!F811,0)</f>
        <v>0</v>
      </c>
      <c r="F811" s="5">
        <f>IF('зведена (БАЛАНС) (2)'!F811&gt;'зведена (БАЛАНС) (2)'!E811,'зведена (БАЛАНС) (2)'!F811-'зведена (БАЛАНС) (2)'!E811,0)</f>
        <v>10904.5</v>
      </c>
    </row>
    <row r="812" spans="1:6" x14ac:dyDescent="0.25">
      <c r="A812" s="38">
        <v>13</v>
      </c>
      <c r="B812" s="34" t="s">
        <v>985</v>
      </c>
      <c r="C812" s="30" t="s">
        <v>1992</v>
      </c>
      <c r="D812" s="32" t="s">
        <v>1993</v>
      </c>
      <c r="E812" s="5">
        <f>IF('зведена (БАЛАНС) (2)'!E812&gt;'зведена (БАЛАНС) (2)'!F812,'зведена (БАЛАНС) (2)'!E812-'зведена (БАЛАНС) (2)'!F812,0)</f>
        <v>2535.1999999999998</v>
      </c>
      <c r="F812" s="5">
        <f>IF('зведена (БАЛАНС) (2)'!F812&gt;'зведена (БАЛАНС) (2)'!E812,'зведена (БАЛАНС) (2)'!F812-'зведена (БАЛАНС) (2)'!E812,0)</f>
        <v>0</v>
      </c>
    </row>
    <row r="813" spans="1:6" x14ac:dyDescent="0.25">
      <c r="A813" s="38">
        <v>13</v>
      </c>
      <c r="B813" s="34" t="s">
        <v>984</v>
      </c>
      <c r="C813" s="30" t="s">
        <v>1994</v>
      </c>
      <c r="D813" s="32" t="s">
        <v>1995</v>
      </c>
      <c r="E813" s="5">
        <f>IF('зведена (БАЛАНС) (2)'!E813&gt;'зведена (БАЛАНС) (2)'!F813,'зведена (БАЛАНС) (2)'!E813-'зведена (БАЛАНС) (2)'!F813,0)</f>
        <v>0</v>
      </c>
      <c r="F813" s="5">
        <f>IF('зведена (БАЛАНС) (2)'!F813&gt;'зведена (БАЛАНС) (2)'!E813,'зведена (БАЛАНС) (2)'!F813-'зведена (БАЛАНС) (2)'!E813,0)</f>
        <v>16790.599999999999</v>
      </c>
    </row>
    <row r="814" spans="1:6" x14ac:dyDescent="0.25">
      <c r="A814" s="38">
        <v>13</v>
      </c>
      <c r="B814" s="34" t="s">
        <v>983</v>
      </c>
      <c r="C814" s="30" t="s">
        <v>1996</v>
      </c>
      <c r="D814" s="32" t="s">
        <v>3031</v>
      </c>
      <c r="E814" s="5">
        <f>IF('зведена (БАЛАНС) (2)'!E814&gt;'зведена (БАЛАНС) (2)'!F814,'зведена (БАЛАНС) (2)'!E814-'зведена (БАЛАНС) (2)'!F814,0)</f>
        <v>0</v>
      </c>
      <c r="F814" s="5">
        <f>IF('зведена (БАЛАНС) (2)'!F814&gt;'зведена (БАЛАНС) (2)'!E814,'зведена (БАЛАНС) (2)'!F814-'зведена (БАЛАНС) (2)'!E814,0)</f>
        <v>16923.400000000001</v>
      </c>
    </row>
    <row r="815" spans="1:6" x14ac:dyDescent="0.25">
      <c r="A815" s="38">
        <v>13</v>
      </c>
      <c r="B815" s="34" t="s">
        <v>985</v>
      </c>
      <c r="C815" s="30" t="s">
        <v>1998</v>
      </c>
      <c r="D815" s="32" t="s">
        <v>3032</v>
      </c>
      <c r="E815" s="5">
        <f>IF('зведена (БАЛАНС) (2)'!E815&gt;'зведена (БАЛАНС) (2)'!F815,'зведена (БАЛАНС) (2)'!E815-'зведена (БАЛАНС) (2)'!F815,0)</f>
        <v>0</v>
      </c>
      <c r="F815" s="5">
        <f>IF('зведена (БАЛАНС) (2)'!F815&gt;'зведена (БАЛАНС) (2)'!E815,'зведена (БАЛАНС) (2)'!F815-'зведена (БАЛАНС) (2)'!E815,0)</f>
        <v>20240.099999999999</v>
      </c>
    </row>
    <row r="816" spans="1:6" x14ac:dyDescent="0.25">
      <c r="A816" s="38">
        <v>13</v>
      </c>
      <c r="B816" s="34" t="s">
        <v>985</v>
      </c>
      <c r="C816" s="30" t="s">
        <v>2000</v>
      </c>
      <c r="D816" s="32" t="s">
        <v>2837</v>
      </c>
      <c r="E816" s="5">
        <f>IF('зведена (БАЛАНС) (2)'!E816&gt;'зведена (БАЛАНС) (2)'!F816,'зведена (БАЛАНС) (2)'!E816-'зведена (БАЛАНС) (2)'!F816,0)</f>
        <v>0</v>
      </c>
      <c r="F816" s="5">
        <f>IF('зведена (БАЛАНС) (2)'!F816&gt;'зведена (БАЛАНС) (2)'!E816,'зведена (БАЛАНС) (2)'!F816-'зведена (БАЛАНС) (2)'!E816,0)</f>
        <v>14069.4</v>
      </c>
    </row>
    <row r="817" spans="1:6" x14ac:dyDescent="0.25">
      <c r="A817" s="38">
        <v>13</v>
      </c>
      <c r="B817" s="34" t="s">
        <v>986</v>
      </c>
      <c r="C817" s="30" t="s">
        <v>2002</v>
      </c>
      <c r="D817" s="32" t="s">
        <v>2003</v>
      </c>
      <c r="E817" s="5">
        <f>IF('зведена (БАЛАНС) (2)'!E817&gt;'зведена (БАЛАНС) (2)'!F817,'зведена (БАЛАНС) (2)'!E817-'зведена (БАЛАНС) (2)'!F817,0)</f>
        <v>789340.4</v>
      </c>
      <c r="F817" s="5">
        <f>IF('зведена (БАЛАНС) (2)'!F817&gt;'зведена (БАЛАНС) (2)'!E817,'зведена (БАЛАНС) (2)'!F817-'зведена (БАЛАНС) (2)'!E817,0)</f>
        <v>0</v>
      </c>
    </row>
    <row r="818" spans="1:6" x14ac:dyDescent="0.25">
      <c r="A818" s="38">
        <v>13</v>
      </c>
      <c r="B818" s="34" t="s">
        <v>983</v>
      </c>
      <c r="C818" s="30" t="s">
        <v>2004</v>
      </c>
      <c r="D818" s="32" t="s">
        <v>2092</v>
      </c>
      <c r="E818" s="5">
        <f>IF('зведена (БАЛАНС) (2)'!E818&gt;'зведена (БАЛАНС) (2)'!F818,'зведена (БАЛАНС) (2)'!E818-'зведена (БАЛАНС) (2)'!F818,0)</f>
        <v>0</v>
      </c>
      <c r="F818" s="5">
        <f>IF('зведена (БАЛАНС) (2)'!F818&gt;'зведена (БАЛАНС) (2)'!E818,'зведена (БАЛАНС) (2)'!F818-'зведена (БАЛАНС) (2)'!E818,0)</f>
        <v>29009.8</v>
      </c>
    </row>
    <row r="819" spans="1:6" x14ac:dyDescent="0.25">
      <c r="A819" s="38">
        <v>13</v>
      </c>
      <c r="B819" s="34" t="s">
        <v>986</v>
      </c>
      <c r="C819" s="30" t="s">
        <v>2005</v>
      </c>
      <c r="D819" s="32" t="s">
        <v>2006</v>
      </c>
      <c r="E819" s="5">
        <f>IF('зведена (БАЛАНС) (2)'!E819&gt;'зведена (БАЛАНС) (2)'!F819,'зведена (БАЛАНС) (2)'!E819-'зведена (БАЛАНС) (2)'!F819,0)</f>
        <v>0</v>
      </c>
      <c r="F819" s="5">
        <f>IF('зведена (БАЛАНС) (2)'!F819&gt;'зведена (БАЛАНС) (2)'!E819,'зведена (БАЛАНС) (2)'!F819-'зведена (БАЛАНС) (2)'!E819,0)</f>
        <v>5761</v>
      </c>
    </row>
    <row r="820" spans="1:6" x14ac:dyDescent="0.25">
      <c r="A820" s="38">
        <v>13</v>
      </c>
      <c r="B820" s="34" t="s">
        <v>986</v>
      </c>
      <c r="C820" s="30" t="s">
        <v>2007</v>
      </c>
      <c r="D820" s="32" t="s">
        <v>2008</v>
      </c>
      <c r="E820" s="5">
        <f>IF('зведена (БАЛАНС) (2)'!E820&gt;'зведена (БАЛАНС) (2)'!F820,'зведена (БАЛАНС) (2)'!E820-'зведена (БАЛАНС) (2)'!F820,0)</f>
        <v>0</v>
      </c>
      <c r="F820" s="5">
        <f>IF('зведена (БАЛАНС) (2)'!F820&gt;'зведена (БАЛАНС) (2)'!E820,'зведена (БАЛАНС) (2)'!F820-'зведена (БАЛАНС) (2)'!E820,0)</f>
        <v>31815.599999999999</v>
      </c>
    </row>
    <row r="821" spans="1:6" x14ac:dyDescent="0.25">
      <c r="A821" s="38">
        <v>13</v>
      </c>
      <c r="B821" s="34" t="s">
        <v>983</v>
      </c>
      <c r="C821" s="30" t="s">
        <v>2009</v>
      </c>
      <c r="D821" s="32" t="s">
        <v>2010</v>
      </c>
      <c r="E821" s="5">
        <f>IF('зведена (БАЛАНС) (2)'!E821&gt;'зведена (БАЛАНС) (2)'!F821,'зведена (БАЛАНС) (2)'!E821-'зведена (БАЛАНС) (2)'!F821,0)</f>
        <v>0</v>
      </c>
      <c r="F821" s="5">
        <f>IF('зведена (БАЛАНС) (2)'!F821&gt;'зведена (БАЛАНС) (2)'!E821,'зведена (БАЛАНС) (2)'!F821-'зведена (БАЛАНС) (2)'!E821,0)</f>
        <v>1883.6</v>
      </c>
    </row>
    <row r="822" spans="1:6" x14ac:dyDescent="0.25">
      <c r="A822" s="38">
        <v>13</v>
      </c>
      <c r="B822" s="34" t="s">
        <v>985</v>
      </c>
      <c r="C822" s="30" t="s">
        <v>2011</v>
      </c>
      <c r="D822" s="32" t="s">
        <v>2012</v>
      </c>
      <c r="E822" s="5">
        <f>IF('зведена (БАЛАНС) (2)'!E822&gt;'зведена (БАЛАНС) (2)'!F822,'зведена (БАЛАНС) (2)'!E822-'зведена (БАЛАНС) (2)'!F822,0)</f>
        <v>0</v>
      </c>
      <c r="F822" s="5">
        <f>IF('зведена (БАЛАНС) (2)'!F822&gt;'зведена (БАЛАНС) (2)'!E822,'зведена (БАЛАНС) (2)'!F822-'зведена (БАЛАНС) (2)'!E822,0)</f>
        <v>18023.7</v>
      </c>
    </row>
    <row r="823" spans="1:6" x14ac:dyDescent="0.25">
      <c r="A823" s="38">
        <v>13</v>
      </c>
      <c r="B823" s="34" t="s">
        <v>984</v>
      </c>
      <c r="C823" s="30" t="s">
        <v>2013</v>
      </c>
      <c r="D823" s="32" t="s">
        <v>3033</v>
      </c>
      <c r="E823" s="5">
        <f>IF('зведена (БАЛАНС) (2)'!E823&gt;'зведена (БАЛАНС) (2)'!F823,'зведена (БАЛАНС) (2)'!E823-'зведена (БАЛАНС) (2)'!F823,0)</f>
        <v>1119.2</v>
      </c>
      <c r="F823" s="5">
        <f>IF('зведена (БАЛАНС) (2)'!F823&gt;'зведена (БАЛАНС) (2)'!E823,'зведена (БАЛАНС) (2)'!F823-'зведена (БАЛАНС) (2)'!E823,0)</f>
        <v>0</v>
      </c>
    </row>
    <row r="824" spans="1:6" x14ac:dyDescent="0.25">
      <c r="A824" s="38">
        <v>13</v>
      </c>
      <c r="B824" s="34" t="s">
        <v>983</v>
      </c>
      <c r="C824" s="30" t="s">
        <v>2015</v>
      </c>
      <c r="D824" s="32" t="s">
        <v>2016</v>
      </c>
      <c r="E824" s="5">
        <f>IF('зведена (БАЛАНС) (2)'!E824&gt;'зведена (БАЛАНС) (2)'!F824,'зведена (БАЛАНС) (2)'!E824-'зведена (БАЛАНС) (2)'!F824,0)</f>
        <v>0</v>
      </c>
      <c r="F824" s="5">
        <f>IF('зведена (БАЛАНС) (2)'!F824&gt;'зведена (БАЛАНС) (2)'!E824,'зведена (БАЛАНС) (2)'!F824-'зведена (БАЛАНС) (2)'!E824,0)</f>
        <v>8293.9</v>
      </c>
    </row>
    <row r="825" spans="1:6" x14ac:dyDescent="0.25">
      <c r="A825" s="38">
        <v>13</v>
      </c>
      <c r="B825" s="34" t="s">
        <v>985</v>
      </c>
      <c r="C825" s="30" t="s">
        <v>2017</v>
      </c>
      <c r="D825" s="32" t="s">
        <v>2018</v>
      </c>
      <c r="E825" s="5">
        <f>IF('зведена (БАЛАНС) (2)'!E825&gt;'зведена (БАЛАНС) (2)'!F825,'зведена (БАЛАНС) (2)'!E825-'зведена (БАЛАНС) (2)'!F825,0)</f>
        <v>0</v>
      </c>
      <c r="F825" s="5">
        <f>IF('зведена (БАЛАНС) (2)'!F825&gt;'зведена (БАЛАНС) (2)'!E825,'зведена (БАЛАНС) (2)'!F825-'зведена (БАЛАНС) (2)'!E825,0)</f>
        <v>17516.5</v>
      </c>
    </row>
    <row r="826" spans="1:6" s="28" customFormat="1" x14ac:dyDescent="0.25">
      <c r="A826" s="38">
        <v>13</v>
      </c>
      <c r="B826" s="34" t="s">
        <v>985</v>
      </c>
      <c r="C826" s="30" t="s">
        <v>2019</v>
      </c>
      <c r="D826" s="32" t="s">
        <v>3034</v>
      </c>
      <c r="E826" s="5">
        <f>IF('зведена (БАЛАНС) (2)'!E826&gt;'зведена (БАЛАНС) (2)'!F826,'зведена (БАЛАНС) (2)'!E826-'зведена (БАЛАНС) (2)'!F826,0)</f>
        <v>0</v>
      </c>
      <c r="F826" s="5">
        <f>IF('зведена (БАЛАНС) (2)'!F826&gt;'зведена (БАЛАНС) (2)'!E826,'зведена (БАЛАНС) (2)'!F826-'зведена (БАЛАНС) (2)'!E826,0)</f>
        <v>12026.2</v>
      </c>
    </row>
    <row r="827" spans="1:6" s="28" customFormat="1" x14ac:dyDescent="0.25">
      <c r="A827" s="38">
        <v>13</v>
      </c>
      <c r="B827" s="34" t="s">
        <v>983</v>
      </c>
      <c r="C827" s="30" t="s">
        <v>2021</v>
      </c>
      <c r="D827" s="32" t="s">
        <v>2022</v>
      </c>
      <c r="E827" s="5">
        <f>IF('зведена (БАЛАНС) (2)'!E827&gt;'зведена (БАЛАНС) (2)'!F827,'зведена (БАЛАНС) (2)'!E827-'зведена (БАЛАНС) (2)'!F827,0)</f>
        <v>7053.7</v>
      </c>
      <c r="F827" s="5">
        <f>IF('зведена (БАЛАНС) (2)'!F827&gt;'зведена (БАЛАНС) (2)'!E827,'зведена (БАЛАНС) (2)'!F827-'зведена (БАЛАНС) (2)'!E827,0)</f>
        <v>0</v>
      </c>
    </row>
    <row r="828" spans="1:6" s="28" customFormat="1" x14ac:dyDescent="0.25">
      <c r="A828" s="38">
        <v>13</v>
      </c>
      <c r="B828" s="34" t="s">
        <v>983</v>
      </c>
      <c r="C828" s="30" t="s">
        <v>2023</v>
      </c>
      <c r="D828" s="32" t="s">
        <v>3035</v>
      </c>
      <c r="E828" s="5">
        <f>IF('зведена (БАЛАНС) (2)'!E828&gt;'зведена (БАЛАНС) (2)'!F828,'зведена (БАЛАНС) (2)'!E828-'зведена (БАЛАНС) (2)'!F828,0)</f>
        <v>0</v>
      </c>
      <c r="F828" s="5">
        <f>IF('зведена (БАЛАНС) (2)'!F828&gt;'зведена (БАЛАНС) (2)'!E828,'зведена (БАЛАНС) (2)'!F828-'зведена (БАЛАНС) (2)'!E828,0)</f>
        <v>30731.8</v>
      </c>
    </row>
    <row r="829" spans="1:6" s="28" customFormat="1" x14ac:dyDescent="0.25">
      <c r="A829" s="38">
        <v>13</v>
      </c>
      <c r="B829" s="34" t="s">
        <v>984</v>
      </c>
      <c r="C829" s="30" t="s">
        <v>2025</v>
      </c>
      <c r="D829" s="32" t="s">
        <v>2026</v>
      </c>
      <c r="E829" s="5">
        <f>IF('зведена (БАЛАНС) (2)'!E829&gt;'зведена (БАЛАНС) (2)'!F829,'зведена (БАЛАНС) (2)'!E829-'зведена (БАЛАНС) (2)'!F829,0)</f>
        <v>0</v>
      </c>
      <c r="F829" s="5">
        <f>IF('зведена (БАЛАНС) (2)'!F829&gt;'зведена (БАЛАНС) (2)'!E829,'зведена (БАЛАНС) (2)'!F829-'зведена (БАЛАНС) (2)'!E829,0)</f>
        <v>21913.200000000001</v>
      </c>
    </row>
    <row r="830" spans="1:6" s="28" customFormat="1" x14ac:dyDescent="0.25">
      <c r="A830" s="38">
        <v>13</v>
      </c>
      <c r="B830" s="34" t="s">
        <v>986</v>
      </c>
      <c r="C830" s="30" t="s">
        <v>2027</v>
      </c>
      <c r="D830" s="32" t="s">
        <v>2028</v>
      </c>
      <c r="E830" s="5">
        <f>IF('зведена (БАЛАНС) (2)'!E830&gt;'зведена (БАЛАНС) (2)'!F830,'зведена (БАЛАНС) (2)'!E830-'зведена (БАЛАНС) (2)'!F830,0)</f>
        <v>0</v>
      </c>
      <c r="F830" s="5">
        <f>IF('зведена (БАЛАНС) (2)'!F830&gt;'зведена (БАЛАНС) (2)'!E830,'зведена (БАЛАНС) (2)'!F830-'зведена (БАЛАНС) (2)'!E830,0)</f>
        <v>0</v>
      </c>
    </row>
    <row r="831" spans="1:6" s="28" customFormat="1" x14ac:dyDescent="0.25">
      <c r="A831" s="38">
        <v>13</v>
      </c>
      <c r="B831" s="34" t="s">
        <v>983</v>
      </c>
      <c r="C831" s="30" t="s">
        <v>2029</v>
      </c>
      <c r="D831" s="32" t="s">
        <v>2030</v>
      </c>
      <c r="E831" s="5">
        <f>IF('зведена (БАЛАНС) (2)'!E831&gt;'зведена (БАЛАНС) (2)'!F831,'зведена (БАЛАНС) (2)'!E831-'зведена (БАЛАНС) (2)'!F831,0)</f>
        <v>0</v>
      </c>
      <c r="F831" s="5">
        <f>IF('зведена (БАЛАНС) (2)'!F831&gt;'зведена (БАЛАНС) (2)'!E831,'зведена (БАЛАНС) (2)'!F831-'зведена (БАЛАНС) (2)'!E831,0)</f>
        <v>15118.8</v>
      </c>
    </row>
    <row r="832" spans="1:6" s="28" customFormat="1" x14ac:dyDescent="0.25">
      <c r="A832" s="38">
        <v>13</v>
      </c>
      <c r="B832" s="34" t="s">
        <v>983</v>
      </c>
      <c r="C832" s="30" t="s">
        <v>2031</v>
      </c>
      <c r="D832" s="32" t="s">
        <v>2032</v>
      </c>
      <c r="E832" s="5">
        <f>IF('зведена (БАЛАНС) (2)'!E832&gt;'зведена (БАЛАНС) (2)'!F832,'зведена (БАЛАНС) (2)'!E832-'зведена (БАЛАНС) (2)'!F832,0)</f>
        <v>0</v>
      </c>
      <c r="F832" s="5">
        <f>IF('зведена (БАЛАНС) (2)'!F832&gt;'зведена (БАЛАНС) (2)'!E832,'зведена (БАЛАНС) (2)'!F832-'зведена (БАЛАНС) (2)'!E832,0)</f>
        <v>26244.2</v>
      </c>
    </row>
    <row r="833" spans="1:6" s="28" customFormat="1" x14ac:dyDescent="0.25">
      <c r="A833" s="38">
        <v>13</v>
      </c>
      <c r="B833" s="34" t="s">
        <v>984</v>
      </c>
      <c r="C833" s="30" t="s">
        <v>2033</v>
      </c>
      <c r="D833" s="32" t="s">
        <v>3036</v>
      </c>
      <c r="E833" s="5">
        <f>IF('зведена (БАЛАНС) (2)'!E833&gt;'зведена (БАЛАНС) (2)'!F833,'зведена (БАЛАНС) (2)'!E833-'зведена (БАЛАНС) (2)'!F833,0)</f>
        <v>16397.400000000001</v>
      </c>
      <c r="F833" s="5">
        <f>IF('зведена (БАЛАНС) (2)'!F833&gt;'зведена (БАЛАНС) (2)'!E833,'зведена (БАЛАНС) (2)'!F833-'зведена (БАЛАНС) (2)'!E833,0)</f>
        <v>0</v>
      </c>
    </row>
    <row r="834" spans="1:6" s="28" customFormat="1" x14ac:dyDescent="0.25">
      <c r="A834" s="38">
        <v>13</v>
      </c>
      <c r="B834" s="34" t="s">
        <v>983</v>
      </c>
      <c r="C834" s="30" t="s">
        <v>2035</v>
      </c>
      <c r="D834" s="32" t="s">
        <v>2036</v>
      </c>
      <c r="E834" s="5">
        <f>IF('зведена (БАЛАНС) (2)'!E834&gt;'зведена (БАЛАНС) (2)'!F834,'зведена (БАЛАНС) (2)'!E834-'зведена (БАЛАНС) (2)'!F834,0)</f>
        <v>0</v>
      </c>
      <c r="F834" s="5">
        <f>IF('зведена (БАЛАНС) (2)'!F834&gt;'зведена (БАЛАНС) (2)'!E834,'зведена (БАЛАНС) (2)'!F834-'зведена (БАЛАНС) (2)'!E834,0)</f>
        <v>19462.099999999999</v>
      </c>
    </row>
    <row r="835" spans="1:6" s="28" customFormat="1" x14ac:dyDescent="0.25">
      <c r="A835" s="38">
        <v>13</v>
      </c>
      <c r="B835" s="34" t="s">
        <v>986</v>
      </c>
      <c r="C835" s="30" t="s">
        <v>2037</v>
      </c>
      <c r="D835" s="32" t="s">
        <v>2038</v>
      </c>
      <c r="E835" s="5">
        <f>IF('зведена (БАЛАНС) (2)'!E835&gt;'зведена (БАЛАНС) (2)'!F835,'зведена (БАЛАНС) (2)'!E835-'зведена (БАЛАНС) (2)'!F835,0)</f>
        <v>1876</v>
      </c>
      <c r="F835" s="5">
        <f>IF('зведена (БАЛАНС) (2)'!F835&gt;'зведена (БАЛАНС) (2)'!E835,'зведена (БАЛАНС) (2)'!F835-'зведена (БАЛАНС) (2)'!E835,0)</f>
        <v>0</v>
      </c>
    </row>
    <row r="836" spans="1:6" s="28" customFormat="1" x14ac:dyDescent="0.25">
      <c r="A836" s="38">
        <v>13</v>
      </c>
      <c r="B836" s="34" t="s">
        <v>984</v>
      </c>
      <c r="C836" s="30" t="s">
        <v>2039</v>
      </c>
      <c r="D836" s="32" t="s">
        <v>2040</v>
      </c>
      <c r="E836" s="5">
        <f>IF('зведена (БАЛАНС) (2)'!E836&gt;'зведена (БАЛАНС) (2)'!F836,'зведена (БАЛАНС) (2)'!E836-'зведена (БАЛАНС) (2)'!F836,0)</f>
        <v>0</v>
      </c>
      <c r="F836" s="5">
        <f>IF('зведена (БАЛАНС) (2)'!F836&gt;'зведена (БАЛАНС) (2)'!E836,'зведена (БАЛАНС) (2)'!F836-'зведена (БАЛАНС) (2)'!E836,0)</f>
        <v>28190.2</v>
      </c>
    </row>
    <row r="837" spans="1:6" s="28" customFormat="1" x14ac:dyDescent="0.25">
      <c r="A837" s="38">
        <v>13</v>
      </c>
      <c r="B837" s="34" t="s">
        <v>985</v>
      </c>
      <c r="C837" s="30" t="s">
        <v>2041</v>
      </c>
      <c r="D837" s="32" t="s">
        <v>3037</v>
      </c>
      <c r="E837" s="5">
        <f>IF('зведена (БАЛАНС) (2)'!E837&gt;'зведена (БАЛАНС) (2)'!F837,'зведена (БАЛАНС) (2)'!E837-'зведена (БАЛАНС) (2)'!F837,0)</f>
        <v>0</v>
      </c>
      <c r="F837" s="5">
        <f>IF('зведена (БАЛАНС) (2)'!F837&gt;'зведена (БАЛАНС) (2)'!E837,'зведена (БАЛАНС) (2)'!F837-'зведена (БАЛАНС) (2)'!E837,0)</f>
        <v>27373.5</v>
      </c>
    </row>
    <row r="838" spans="1:6" s="28" customFormat="1" x14ac:dyDescent="0.25">
      <c r="A838" s="38">
        <v>13</v>
      </c>
      <c r="B838" s="34" t="s">
        <v>986</v>
      </c>
      <c r="C838" s="30" t="s">
        <v>2043</v>
      </c>
      <c r="D838" s="32" t="s">
        <v>3038</v>
      </c>
      <c r="E838" s="5">
        <f>IF('зведена (БАЛАНС) (2)'!E838&gt;'зведена (БАЛАНС) (2)'!F838,'зведена (БАЛАНС) (2)'!E838-'зведена (БАЛАНС) (2)'!F838,0)</f>
        <v>0</v>
      </c>
      <c r="F838" s="5">
        <f>IF('зведена (БАЛАНС) (2)'!F838&gt;'зведена (БАЛАНС) (2)'!E838,'зведена (БАЛАНС) (2)'!F838-'зведена (БАЛАНС) (2)'!E838,0)</f>
        <v>30839.8</v>
      </c>
    </row>
    <row r="839" spans="1:6" s="28" customFormat="1" x14ac:dyDescent="0.25">
      <c r="A839" s="38">
        <v>13</v>
      </c>
      <c r="B839" s="34" t="s">
        <v>983</v>
      </c>
      <c r="C839" s="30" t="s">
        <v>2045</v>
      </c>
      <c r="D839" s="32" t="s">
        <v>2046</v>
      </c>
      <c r="E839" s="5">
        <f>IF('зведена (БАЛАНС) (2)'!E839&gt;'зведена (БАЛАНС) (2)'!F839,'зведена (БАЛАНС) (2)'!E839-'зведена (БАЛАНС) (2)'!F839,0)</f>
        <v>0</v>
      </c>
      <c r="F839" s="5">
        <f>IF('зведена (БАЛАНС) (2)'!F839&gt;'зведена (БАЛАНС) (2)'!E839,'зведена (БАЛАНС) (2)'!F839-'зведена (БАЛАНС) (2)'!E839,0)</f>
        <v>27410.400000000001</v>
      </c>
    </row>
    <row r="840" spans="1:6" s="28" customFormat="1" x14ac:dyDescent="0.25">
      <c r="A840" s="38">
        <v>13</v>
      </c>
      <c r="B840" s="34" t="s">
        <v>983</v>
      </c>
      <c r="C840" s="30" t="s">
        <v>2047</v>
      </c>
      <c r="D840" s="32" t="s">
        <v>2048</v>
      </c>
      <c r="E840" s="5">
        <f>IF('зведена (БАЛАНС) (2)'!E840&gt;'зведена (БАЛАНС) (2)'!F840,'зведена (БАЛАНС) (2)'!E840-'зведена (БАЛАНС) (2)'!F840,0)</f>
        <v>0</v>
      </c>
      <c r="F840" s="5">
        <f>IF('зведена (БАЛАНС) (2)'!F840&gt;'зведена (БАЛАНС) (2)'!E840,'зведена (БАЛАНС) (2)'!F840-'зведена (БАЛАНС) (2)'!E840,0)</f>
        <v>26956.9</v>
      </c>
    </row>
    <row r="841" spans="1:6" s="28" customFormat="1" x14ac:dyDescent="0.25">
      <c r="A841" s="38">
        <v>13</v>
      </c>
      <c r="B841" s="34" t="s">
        <v>986</v>
      </c>
      <c r="C841" s="30" t="s">
        <v>2049</v>
      </c>
      <c r="D841" s="32" t="s">
        <v>2050</v>
      </c>
      <c r="E841" s="5">
        <f>IF('зведена (БАЛАНС) (2)'!E841&gt;'зведена (БАЛАНС) (2)'!F841,'зведена (БАЛАНС) (2)'!E841-'зведена (БАЛАНС) (2)'!F841,0)</f>
        <v>0</v>
      </c>
      <c r="F841" s="5">
        <f>IF('зведена (БАЛАНС) (2)'!F841&gt;'зведена (БАЛАНС) (2)'!E841,'зведена (БАЛАНС) (2)'!F841-'зведена (БАЛАНС) (2)'!E841,0)</f>
        <v>0</v>
      </c>
    </row>
    <row r="842" spans="1:6" s="28" customFormat="1" x14ac:dyDescent="0.25">
      <c r="A842" s="38">
        <v>13</v>
      </c>
      <c r="B842" s="34" t="s">
        <v>983</v>
      </c>
      <c r="C842" s="30" t="s">
        <v>2051</v>
      </c>
      <c r="D842" s="32" t="s">
        <v>2052</v>
      </c>
      <c r="E842" s="5">
        <f>IF('зведена (БАЛАНС) (2)'!E842&gt;'зведена (БАЛАНС) (2)'!F842,'зведена (БАЛАНС) (2)'!E842-'зведена (БАЛАНС) (2)'!F842,0)</f>
        <v>0</v>
      </c>
      <c r="F842" s="5">
        <f>IF('зведена (БАЛАНС) (2)'!F842&gt;'зведена (БАЛАНС) (2)'!E842,'зведена (БАЛАНС) (2)'!F842-'зведена (БАЛАНС) (2)'!E842,0)</f>
        <v>0</v>
      </c>
    </row>
    <row r="843" spans="1:6" s="28" customFormat="1" x14ac:dyDescent="0.25">
      <c r="A843" s="36">
        <v>14</v>
      </c>
      <c r="B843" s="17" t="s">
        <v>7</v>
      </c>
      <c r="C843" s="17" t="s">
        <v>793</v>
      </c>
      <c r="D843" s="11" t="s">
        <v>982</v>
      </c>
      <c r="E843" s="11">
        <f>E844+E845+E850</f>
        <v>314991.8</v>
      </c>
      <c r="F843" s="11">
        <f>F844+F845+F850</f>
        <v>346383.20000000007</v>
      </c>
    </row>
    <row r="844" spans="1:6" s="28" customFormat="1" x14ac:dyDescent="0.25">
      <c r="A844" s="38">
        <v>14</v>
      </c>
      <c r="B844" s="34" t="s">
        <v>6</v>
      </c>
      <c r="C844" s="18" t="s">
        <v>128</v>
      </c>
      <c r="D844" s="32" t="s">
        <v>852</v>
      </c>
      <c r="E844" s="5">
        <f>IF('зведена (БАЛАНС) (2)'!E844&gt;'зведена (БАЛАНС) (2)'!F844,'зведена (БАЛАНС) (2)'!E844-'зведена (БАЛАНС) (2)'!F844,0)</f>
        <v>0</v>
      </c>
      <c r="F844" s="5">
        <f>IF('зведена (БАЛАНС) (2)'!F844&gt;'зведена (БАЛАНС) (2)'!E844,'зведена (БАЛАНС) (2)'!F844-'зведена (БАЛАНС) (2)'!E844,0)</f>
        <v>3579.3</v>
      </c>
    </row>
    <row r="845" spans="1:6" s="28" customFormat="1" x14ac:dyDescent="0.25">
      <c r="A845" s="37">
        <v>14</v>
      </c>
      <c r="B845" s="19" t="s">
        <v>5</v>
      </c>
      <c r="C845" s="19" t="s">
        <v>794</v>
      </c>
      <c r="D845" s="7" t="s">
        <v>2806</v>
      </c>
      <c r="E845" s="7">
        <f>SUM(E846:E849)</f>
        <v>0</v>
      </c>
      <c r="F845" s="7">
        <f>SUM(F846:F849)</f>
        <v>0</v>
      </c>
    </row>
    <row r="846" spans="1:6" s="28" customFormat="1" x14ac:dyDescent="0.25">
      <c r="A846" s="38">
        <v>14</v>
      </c>
      <c r="B846" s="34" t="s">
        <v>4</v>
      </c>
      <c r="C846" s="18" t="s">
        <v>129</v>
      </c>
      <c r="D846" s="32" t="s">
        <v>930</v>
      </c>
      <c r="E846" s="5">
        <f>IF('зведена (БАЛАНС) (2)'!E846&gt;'зведена (БАЛАНС) (2)'!F846,'зведена (БАЛАНС) (2)'!E846-'зведена (БАЛАНС) (2)'!F846,0)</f>
        <v>0</v>
      </c>
      <c r="F846" s="5">
        <f>IF('зведена (БАЛАНС) (2)'!F846&gt;'зведена (БАЛАНС) (2)'!E846,'зведена (БАЛАНС) (2)'!F846-'зведена (БАЛАНС) (2)'!E846,0)</f>
        <v>0</v>
      </c>
    </row>
    <row r="847" spans="1:6" s="28" customFormat="1" x14ac:dyDescent="0.25">
      <c r="A847" s="38">
        <v>14</v>
      </c>
      <c r="B847" s="34" t="s">
        <v>4</v>
      </c>
      <c r="C847" s="18" t="s">
        <v>130</v>
      </c>
      <c r="D847" s="32" t="s">
        <v>931</v>
      </c>
      <c r="E847" s="5">
        <f>IF('зведена (БАЛАНС) (2)'!E847&gt;'зведена (БАЛАНС) (2)'!F847,'зведена (БАЛАНС) (2)'!E847-'зведена (БАЛАНС) (2)'!F847,0)</f>
        <v>0</v>
      </c>
      <c r="F847" s="5">
        <f>IF('зведена (БАЛАНС) (2)'!F847&gt;'зведена (БАЛАНС) (2)'!E847,'зведена (БАЛАНС) (2)'!F847-'зведена (БАЛАНС) (2)'!E847,0)</f>
        <v>0</v>
      </c>
    </row>
    <row r="848" spans="1:6" x14ac:dyDescent="0.25">
      <c r="A848" s="38">
        <v>14</v>
      </c>
      <c r="B848" s="34" t="s">
        <v>4</v>
      </c>
      <c r="C848" s="18" t="s">
        <v>131</v>
      </c>
      <c r="D848" s="32" t="s">
        <v>926</v>
      </c>
      <c r="E848" s="5">
        <f>IF('зведена (БАЛАНС) (2)'!E848&gt;'зведена (БАЛАНС) (2)'!F848,'зведена (БАЛАНС) (2)'!E848-'зведена (БАЛАНС) (2)'!F848,0)</f>
        <v>0</v>
      </c>
      <c r="F848" s="5">
        <f>IF('зведена (БАЛАНС) (2)'!F848&gt;'зведена (БАЛАНС) (2)'!E848,'зведена (БАЛАНС) (2)'!F848-'зведена (БАЛАНС) (2)'!E848,0)</f>
        <v>0</v>
      </c>
    </row>
    <row r="849" spans="1:6" s="28" customFormat="1" x14ac:dyDescent="0.25">
      <c r="A849" s="38">
        <v>14</v>
      </c>
      <c r="B849" s="34" t="s">
        <v>4</v>
      </c>
      <c r="C849" s="18" t="s">
        <v>132</v>
      </c>
      <c r="D849" s="32" t="s">
        <v>932</v>
      </c>
      <c r="E849" s="5">
        <f>IF('зведена (БАЛАНС) (2)'!E849&gt;'зведена (БАЛАНС) (2)'!F849,'зведена (БАЛАНС) (2)'!E849-'зведена (БАЛАНС) (2)'!F849,0)</f>
        <v>0</v>
      </c>
      <c r="F849" s="5">
        <f>IF('зведена (БАЛАНС) (2)'!F849&gt;'зведена (БАЛАНС) (2)'!E849,'зведена (БАЛАНС) (2)'!F849-'зведена (БАЛАНС) (2)'!E849,0)</f>
        <v>0</v>
      </c>
    </row>
    <row r="850" spans="1:6" s="28" customFormat="1" x14ac:dyDescent="0.25">
      <c r="A850" s="37">
        <v>14</v>
      </c>
      <c r="B850" s="19" t="s">
        <v>28</v>
      </c>
      <c r="C850" s="19" t="s">
        <v>795</v>
      </c>
      <c r="D850" s="20" t="s">
        <v>2780</v>
      </c>
      <c r="E850" s="7">
        <f>SUM(E851:E902)</f>
        <v>314991.8</v>
      </c>
      <c r="F850" s="7">
        <f>SUM(F851:F902)</f>
        <v>342803.90000000008</v>
      </c>
    </row>
    <row r="851" spans="1:6" s="28" customFormat="1" x14ac:dyDescent="0.25">
      <c r="A851" s="38">
        <v>14</v>
      </c>
      <c r="B851" s="34" t="s">
        <v>984</v>
      </c>
      <c r="C851" s="18" t="s">
        <v>238</v>
      </c>
      <c r="D851" s="81" t="s">
        <v>2053</v>
      </c>
      <c r="E851" s="5">
        <f>IF('зведена (БАЛАНС) (2)'!E851&gt;'зведена (БАЛАНС) (2)'!F851,'зведена (БАЛАНС) (2)'!E851-'зведена (БАЛАНС) (2)'!F851,0)</f>
        <v>0</v>
      </c>
      <c r="F851" s="5">
        <f>IF('зведена (БАЛАНС) (2)'!F851&gt;'зведена (БАЛАНС) (2)'!E851,'зведена (БАЛАНС) (2)'!F851-'зведена (БАЛАНС) (2)'!E851,0)</f>
        <v>5512</v>
      </c>
    </row>
    <row r="852" spans="1:6" s="28" customFormat="1" x14ac:dyDescent="0.25">
      <c r="A852" s="38">
        <v>14</v>
      </c>
      <c r="B852" s="34" t="s">
        <v>983</v>
      </c>
      <c r="C852" s="18" t="s">
        <v>384</v>
      </c>
      <c r="D852" s="32" t="s">
        <v>2054</v>
      </c>
      <c r="E852" s="5">
        <f>IF('зведена (БАЛАНС) (2)'!E852&gt;'зведена (БАЛАНС) (2)'!F852,'зведена (БАЛАНС) (2)'!E852-'зведена (БАЛАНС) (2)'!F852,0)</f>
        <v>0</v>
      </c>
      <c r="F852" s="5">
        <f>IF('зведена (БАЛАНС) (2)'!F852&gt;'зведена (БАЛАНС) (2)'!E852,'зведена (БАЛАНС) (2)'!F852-'зведена (БАЛАНС) (2)'!E852,0)</f>
        <v>8592</v>
      </c>
    </row>
    <row r="853" spans="1:6" s="28" customFormat="1" x14ac:dyDescent="0.25">
      <c r="A853" s="38">
        <v>14</v>
      </c>
      <c r="B853" s="34" t="s">
        <v>985</v>
      </c>
      <c r="C853" s="18" t="s">
        <v>385</v>
      </c>
      <c r="D853" s="32" t="s">
        <v>1334</v>
      </c>
      <c r="E853" s="5">
        <f>IF('зведена (БАЛАНС) (2)'!E853&gt;'зведена (БАЛАНС) (2)'!F853,'зведена (БАЛАНС) (2)'!E853-'зведена (БАЛАНС) (2)'!F853,0)</f>
        <v>0</v>
      </c>
      <c r="F853" s="5">
        <f>IF('зведена (БАЛАНС) (2)'!F853&gt;'зведена (БАЛАНС) (2)'!E853,'зведена (БАЛАНС) (2)'!F853-'зведена (БАЛАНС) (2)'!E853,0)</f>
        <v>9740.5</v>
      </c>
    </row>
    <row r="854" spans="1:6" s="28" customFormat="1" x14ac:dyDescent="0.25">
      <c r="A854" s="38">
        <v>14</v>
      </c>
      <c r="B854" s="34" t="s">
        <v>985</v>
      </c>
      <c r="C854" s="18" t="s">
        <v>386</v>
      </c>
      <c r="D854" s="32" t="s">
        <v>2055</v>
      </c>
      <c r="E854" s="5">
        <f>IF('зведена (БАЛАНС) (2)'!E854&gt;'зведена (БАЛАНС) (2)'!F854,'зведена (БАЛАНС) (2)'!E854-'зведена (БАЛАНС) (2)'!F854,0)</f>
        <v>0</v>
      </c>
      <c r="F854" s="5">
        <f>IF('зведена (БАЛАНС) (2)'!F854&gt;'зведена (БАЛАНС) (2)'!E854,'зведена (БАЛАНС) (2)'!F854-'зведена (БАЛАНС) (2)'!E854,0)</f>
        <v>16575.400000000001</v>
      </c>
    </row>
    <row r="855" spans="1:6" s="28" customFormat="1" x14ac:dyDescent="0.25">
      <c r="A855" s="38">
        <v>14</v>
      </c>
      <c r="B855" s="34" t="s">
        <v>985</v>
      </c>
      <c r="C855" s="18" t="s">
        <v>387</v>
      </c>
      <c r="D855" s="32" t="s">
        <v>2056</v>
      </c>
      <c r="E855" s="5">
        <f>IF('зведена (БАЛАНС) (2)'!E855&gt;'зведена (БАЛАНС) (2)'!F855,'зведена (БАЛАНС) (2)'!E855-'зведена (БАЛАНС) (2)'!F855,0)</f>
        <v>0</v>
      </c>
      <c r="F855" s="5">
        <f>IF('зведена (БАЛАНС) (2)'!F855&gt;'зведена (БАЛАНС) (2)'!E855,'зведена (БАЛАНС) (2)'!F855-'зведена (БАЛАНС) (2)'!E855,0)</f>
        <v>23433.7</v>
      </c>
    </row>
    <row r="856" spans="1:6" s="28" customFormat="1" x14ac:dyDescent="0.25">
      <c r="A856" s="38">
        <v>14</v>
      </c>
      <c r="B856" s="34" t="s">
        <v>985</v>
      </c>
      <c r="C856" s="18" t="s">
        <v>388</v>
      </c>
      <c r="D856" s="32" t="s">
        <v>2057</v>
      </c>
      <c r="E856" s="5">
        <f>IF('зведена (БАЛАНС) (2)'!E856&gt;'зведена (БАЛАНС) (2)'!F856,'зведена (БАЛАНС) (2)'!E856-'зведена (БАЛАНС) (2)'!F856,0)</f>
        <v>0</v>
      </c>
      <c r="F856" s="5">
        <f>IF('зведена (БАЛАНС) (2)'!F856&gt;'зведена (БАЛАНС) (2)'!E856,'зведена (БАЛАНС) (2)'!F856-'зведена (БАЛАНС) (2)'!E856,0)</f>
        <v>14536</v>
      </c>
    </row>
    <row r="857" spans="1:6" s="28" customFormat="1" x14ac:dyDescent="0.25">
      <c r="A857" s="38">
        <v>14</v>
      </c>
      <c r="B857" s="34" t="s">
        <v>985</v>
      </c>
      <c r="C857" s="18" t="s">
        <v>389</v>
      </c>
      <c r="D857" s="32" t="s">
        <v>2058</v>
      </c>
      <c r="E857" s="5">
        <f>IF('зведена (БАЛАНС) (2)'!E857&gt;'зведена (БАЛАНС) (2)'!F857,'зведена (БАЛАНС) (2)'!E857-'зведена (БАЛАНС) (2)'!F857,0)</f>
        <v>0</v>
      </c>
      <c r="F857" s="5">
        <f>IF('зведена (БАЛАНС) (2)'!F857&gt;'зведена (БАЛАНС) (2)'!E857,'зведена (БАЛАНС) (2)'!F857-'зведена (БАЛАНС) (2)'!E857,0)</f>
        <v>4611.3</v>
      </c>
    </row>
    <row r="858" spans="1:6" s="28" customFormat="1" x14ac:dyDescent="0.25">
      <c r="A858" s="38">
        <v>14</v>
      </c>
      <c r="B858" s="34" t="s">
        <v>984</v>
      </c>
      <c r="C858" s="18" t="s">
        <v>390</v>
      </c>
      <c r="D858" s="32" t="s">
        <v>3039</v>
      </c>
      <c r="E858" s="5">
        <f>IF('зведена (БАЛАНС) (2)'!E858&gt;'зведена (БАЛАНС) (2)'!F858,'зведена (БАЛАНС) (2)'!E858-'зведена (БАЛАНС) (2)'!F858,0)</f>
        <v>0</v>
      </c>
      <c r="F858" s="5">
        <f>IF('зведена (БАЛАНС) (2)'!F858&gt;'зведена (БАЛАНС) (2)'!E858,'зведена (БАЛАНС) (2)'!F858-'зведена (БАЛАНС) (2)'!E858,0)</f>
        <v>0</v>
      </c>
    </row>
    <row r="859" spans="1:6" s="28" customFormat="1" x14ac:dyDescent="0.25">
      <c r="A859" s="38">
        <v>14</v>
      </c>
      <c r="B859" s="34" t="s">
        <v>984</v>
      </c>
      <c r="C859" s="18" t="s">
        <v>391</v>
      </c>
      <c r="D859" s="32" t="s">
        <v>2060</v>
      </c>
      <c r="E859" s="5">
        <f>IF('зведена (БАЛАНС) (2)'!E859&gt;'зведена (БАЛАНС) (2)'!F859,'зведена (БАЛАНС) (2)'!E859-'зведена (БАЛАНС) (2)'!F859,0)</f>
        <v>0</v>
      </c>
      <c r="F859" s="5">
        <f>IF('зведена (БАЛАНС) (2)'!F859&gt;'зведена (БАЛАНС) (2)'!E859,'зведена (БАЛАНС) (2)'!F859-'зведена (БАЛАНС) (2)'!E859,0)</f>
        <v>5180.3</v>
      </c>
    </row>
    <row r="860" spans="1:6" s="28" customFormat="1" x14ac:dyDescent="0.25">
      <c r="A860" s="38">
        <v>14</v>
      </c>
      <c r="B860" s="34" t="s">
        <v>984</v>
      </c>
      <c r="C860" s="18" t="s">
        <v>392</v>
      </c>
      <c r="D860" s="32" t="s">
        <v>2061</v>
      </c>
      <c r="E860" s="5">
        <f>IF('зведена (БАЛАНС) (2)'!E860&gt;'зведена (БАЛАНС) (2)'!F860,'зведена (БАЛАНС) (2)'!E860-'зведена (БАЛАНС) (2)'!F860,0)</f>
        <v>2816.3</v>
      </c>
      <c r="F860" s="5">
        <f>IF('зведена (БАЛАНС) (2)'!F860&gt;'зведена (БАЛАНС) (2)'!E860,'зведена (БАЛАНС) (2)'!F860-'зведена (БАЛАНС) (2)'!E860,0)</f>
        <v>0</v>
      </c>
    </row>
    <row r="861" spans="1:6" s="28" customFormat="1" x14ac:dyDescent="0.25">
      <c r="A861" s="38">
        <v>14</v>
      </c>
      <c r="B861" s="34" t="s">
        <v>984</v>
      </c>
      <c r="C861" s="18" t="s">
        <v>393</v>
      </c>
      <c r="D861" s="32" t="s">
        <v>2062</v>
      </c>
      <c r="E861" s="5">
        <f>IF('зведена (БАЛАНС) (2)'!E861&gt;'зведена (БАЛАНС) (2)'!F861,'зведена (БАЛАНС) (2)'!E861-'зведена (БАЛАНС) (2)'!F861,0)</f>
        <v>0</v>
      </c>
      <c r="F861" s="5">
        <f>IF('зведена (БАЛАНС) (2)'!F861&gt;'зведена (БАЛАНС) (2)'!E861,'зведена (БАЛАНС) (2)'!F861-'зведена (БАЛАНС) (2)'!E861,0)</f>
        <v>0</v>
      </c>
    </row>
    <row r="862" spans="1:6" s="28" customFormat="1" x14ac:dyDescent="0.25">
      <c r="A862" s="38">
        <v>14</v>
      </c>
      <c r="B862" s="34" t="s">
        <v>984</v>
      </c>
      <c r="C862" s="18" t="s">
        <v>394</v>
      </c>
      <c r="D862" s="32" t="s">
        <v>2063</v>
      </c>
      <c r="E862" s="5">
        <f>IF('зведена (БАЛАНС) (2)'!E862&gt;'зведена (БАЛАНС) (2)'!F862,'зведена (БАЛАНС) (2)'!E862-'зведена (БАЛАНС) (2)'!F862,0)</f>
        <v>36363.4</v>
      </c>
      <c r="F862" s="5">
        <f>IF('зведена (БАЛАНС) (2)'!F862&gt;'зведена (БАЛАНС) (2)'!E862,'зведена (БАЛАНС) (2)'!F862-'зведена (БАЛАНС) (2)'!E862,0)</f>
        <v>0</v>
      </c>
    </row>
    <row r="863" spans="1:6" s="28" customFormat="1" x14ac:dyDescent="0.25">
      <c r="A863" s="38">
        <v>14</v>
      </c>
      <c r="B863" s="34" t="s">
        <v>984</v>
      </c>
      <c r="C863" s="18" t="s">
        <v>395</v>
      </c>
      <c r="D863" s="32" t="s">
        <v>2064</v>
      </c>
      <c r="E863" s="5">
        <f>IF('зведена (БАЛАНС) (2)'!E863&gt;'зведена (БАЛАНС) (2)'!F863,'зведена (БАЛАНС) (2)'!E863-'зведена (БАЛАНС) (2)'!F863,0)</f>
        <v>0</v>
      </c>
      <c r="F863" s="5">
        <f>IF('зведена (БАЛАНС) (2)'!F863&gt;'зведена (БАЛАНС) (2)'!E863,'зведена (БАЛАНС) (2)'!F863-'зведена (БАЛАНС) (2)'!E863,0)</f>
        <v>0</v>
      </c>
    </row>
    <row r="864" spans="1:6" s="28" customFormat="1" x14ac:dyDescent="0.25">
      <c r="A864" s="38">
        <v>14</v>
      </c>
      <c r="B864" s="34" t="s">
        <v>984</v>
      </c>
      <c r="C864" s="18" t="s">
        <v>396</v>
      </c>
      <c r="D864" s="32" t="s">
        <v>2065</v>
      </c>
      <c r="E864" s="5">
        <f>IF('зведена (БАЛАНС) (2)'!E864&gt;'зведена (БАЛАНС) (2)'!F864,'зведена (БАЛАНС) (2)'!E864-'зведена (БАЛАНС) (2)'!F864,0)</f>
        <v>0</v>
      </c>
      <c r="F864" s="5">
        <f>IF('зведена (БАЛАНС) (2)'!F864&gt;'зведена (БАЛАНС) (2)'!E864,'зведена (БАЛАНС) (2)'!F864-'зведена (БАЛАНС) (2)'!E864,0)</f>
        <v>2471.6999999999998</v>
      </c>
    </row>
    <row r="865" spans="1:6" s="28" customFormat="1" x14ac:dyDescent="0.25">
      <c r="A865" s="38">
        <v>14</v>
      </c>
      <c r="B865" s="34" t="s">
        <v>984</v>
      </c>
      <c r="C865" s="18" t="s">
        <v>397</v>
      </c>
      <c r="D865" s="32" t="s">
        <v>2066</v>
      </c>
      <c r="E865" s="5">
        <f>IF('зведена (БАЛАНС) (2)'!E865&gt;'зведена (БАЛАНС) (2)'!F865,'зведена (БАЛАНС) (2)'!E865-'зведена (БАЛАНС) (2)'!F865,0)</f>
        <v>0</v>
      </c>
      <c r="F865" s="5">
        <f>IF('зведена (БАЛАНС) (2)'!F865&gt;'зведена (БАЛАНС) (2)'!E865,'зведена (БАЛАНС) (2)'!F865-'зведена (БАЛАНС) (2)'!E865,0)</f>
        <v>4269.8999999999996</v>
      </c>
    </row>
    <row r="866" spans="1:6" s="28" customFormat="1" x14ac:dyDescent="0.25">
      <c r="A866" s="38">
        <v>14</v>
      </c>
      <c r="B866" s="34" t="s">
        <v>984</v>
      </c>
      <c r="C866" s="18" t="s">
        <v>398</v>
      </c>
      <c r="D866" s="32" t="s">
        <v>2067</v>
      </c>
      <c r="E866" s="5">
        <f>IF('зведена (БАЛАНС) (2)'!E866&gt;'зведена (БАЛАНС) (2)'!F866,'зведена (БАЛАНС) (2)'!E866-'зведена (БАЛАНС) (2)'!F866,0)</f>
        <v>0</v>
      </c>
      <c r="F866" s="5">
        <f>IF('зведена (БАЛАНС) (2)'!F866&gt;'зведена (БАЛАНС) (2)'!E866,'зведена (БАЛАНС) (2)'!F866-'зведена (БАЛАНС) (2)'!E866,0)</f>
        <v>7021.3</v>
      </c>
    </row>
    <row r="867" spans="1:6" s="28" customFormat="1" x14ac:dyDescent="0.25">
      <c r="A867" s="38">
        <v>14</v>
      </c>
      <c r="B867" s="34" t="s">
        <v>984</v>
      </c>
      <c r="C867" s="18" t="s">
        <v>399</v>
      </c>
      <c r="D867" s="32" t="s">
        <v>2068</v>
      </c>
      <c r="E867" s="5">
        <f>IF('зведена (БАЛАНС) (2)'!E867&gt;'зведена (БАЛАНС) (2)'!F867,'зведена (БАЛАНС) (2)'!E867-'зведена (БАЛАНС) (2)'!F867,0)</f>
        <v>0</v>
      </c>
      <c r="F867" s="5">
        <f>IF('зведена (БАЛАНС) (2)'!F867&gt;'зведена (БАЛАНС) (2)'!E867,'зведена (БАЛАНС) (2)'!F867-'зведена (БАЛАНС) (2)'!E867,0)</f>
        <v>5237.5</v>
      </c>
    </row>
    <row r="868" spans="1:6" s="28" customFormat="1" x14ac:dyDescent="0.25">
      <c r="A868" s="38">
        <v>14</v>
      </c>
      <c r="B868" s="34" t="s">
        <v>984</v>
      </c>
      <c r="C868" s="18" t="s">
        <v>400</v>
      </c>
      <c r="D868" s="32" t="s">
        <v>2069</v>
      </c>
      <c r="E868" s="5">
        <f>IF('зведена (БАЛАНС) (2)'!E868&gt;'зведена (БАЛАНС) (2)'!F868,'зведена (БАЛАНС) (2)'!E868-'зведена (БАЛАНС) (2)'!F868,0)</f>
        <v>0</v>
      </c>
      <c r="F868" s="5">
        <f>IF('зведена (БАЛАНС) (2)'!F868&gt;'зведена (БАЛАНС) (2)'!E868,'зведена (БАЛАНС) (2)'!F868-'зведена (БАЛАНС) (2)'!E868,0)</f>
        <v>0</v>
      </c>
    </row>
    <row r="869" spans="1:6" s="27" customFormat="1" x14ac:dyDescent="0.25">
      <c r="A869" s="38">
        <v>14</v>
      </c>
      <c r="B869" s="34" t="s">
        <v>984</v>
      </c>
      <c r="C869" s="18" t="s">
        <v>490</v>
      </c>
      <c r="D869" s="32" t="s">
        <v>3040</v>
      </c>
      <c r="E869" s="5">
        <f>IF('зведена (БАЛАНС) (2)'!E869&gt;'зведена (БАЛАНС) (2)'!F869,'зведена (БАЛАНС) (2)'!E869-'зведена (БАЛАНС) (2)'!F869,0)</f>
        <v>0</v>
      </c>
      <c r="F869" s="5">
        <f>IF('зведена (БАЛАНС) (2)'!F869&gt;'зведена (БАЛАНС) (2)'!E869,'зведена (БАЛАНС) (2)'!F869-'зведена (БАЛАНС) (2)'!E869,0)</f>
        <v>6742.1</v>
      </c>
    </row>
    <row r="870" spans="1:6" x14ac:dyDescent="0.25">
      <c r="A870" s="38">
        <v>14</v>
      </c>
      <c r="B870" s="34" t="s">
        <v>985</v>
      </c>
      <c r="C870" s="18" t="s">
        <v>699</v>
      </c>
      <c r="D870" s="32" t="s">
        <v>2071</v>
      </c>
      <c r="E870" s="5">
        <f>IF('зведена (БАЛАНС) (2)'!E870&gt;'зведена (БАЛАНС) (2)'!F870,'зведена (БАЛАНС) (2)'!E870-'зведена (БАЛАНС) (2)'!F870,0)</f>
        <v>0</v>
      </c>
      <c r="F870" s="5">
        <f>IF('зведена (БАЛАНС) (2)'!F870&gt;'зведена (БАЛАНС) (2)'!E870,'зведена (БАЛАНС) (2)'!F870-'зведена (БАЛАНС) (2)'!E870,0)</f>
        <v>8120.5</v>
      </c>
    </row>
    <row r="871" spans="1:6" x14ac:dyDescent="0.25">
      <c r="A871" s="38">
        <v>14</v>
      </c>
      <c r="B871" s="34" t="s">
        <v>984</v>
      </c>
      <c r="C871" s="18" t="s">
        <v>700</v>
      </c>
      <c r="D871" s="32" t="s">
        <v>2072</v>
      </c>
      <c r="E871" s="5">
        <f>IF('зведена (БАЛАНС) (2)'!E871&gt;'зведена (БАЛАНС) (2)'!F871,'зведена (БАЛАНС) (2)'!E871-'зведена (БАЛАНС) (2)'!F871,0)</f>
        <v>0</v>
      </c>
      <c r="F871" s="5">
        <f>IF('зведена (БАЛАНС) (2)'!F871&gt;'зведена (БАЛАНС) (2)'!E871,'зведена (БАЛАНС) (2)'!F871-'зведена (БАЛАНС) (2)'!E871,0)</f>
        <v>5025.3999999999996</v>
      </c>
    </row>
    <row r="872" spans="1:6" x14ac:dyDescent="0.25">
      <c r="A872" s="38">
        <v>14</v>
      </c>
      <c r="B872" s="34" t="s">
        <v>984</v>
      </c>
      <c r="C872" s="18" t="s">
        <v>701</v>
      </c>
      <c r="D872" s="32" t="s">
        <v>2073</v>
      </c>
      <c r="E872" s="5">
        <f>IF('зведена (БАЛАНС) (2)'!E872&gt;'зведена (БАЛАНС) (2)'!F872,'зведена (БАЛАНС) (2)'!E872-'зведена (БАЛАНС) (2)'!F872,0)</f>
        <v>0</v>
      </c>
      <c r="F872" s="5">
        <f>IF('зведена (БАЛАНС) (2)'!F872&gt;'зведена (БАЛАНС) (2)'!E872,'зведена (БАЛАНС) (2)'!F872-'зведена (БАЛАНС) (2)'!E872,0)</f>
        <v>960.7</v>
      </c>
    </row>
    <row r="873" spans="1:6" x14ac:dyDescent="0.25">
      <c r="A873" s="38">
        <v>14</v>
      </c>
      <c r="B873" s="34" t="s">
        <v>985</v>
      </c>
      <c r="C873" s="18" t="s">
        <v>702</v>
      </c>
      <c r="D873" s="32" t="s">
        <v>2074</v>
      </c>
      <c r="E873" s="5">
        <f>IF('зведена (БАЛАНС) (2)'!E873&gt;'зведена (БАЛАНС) (2)'!F873,'зведена (БАЛАНС) (2)'!E873-'зведена (БАЛАНС) (2)'!F873,0)</f>
        <v>0</v>
      </c>
      <c r="F873" s="5">
        <f>IF('зведена (БАЛАНС) (2)'!F873&gt;'зведена (БАЛАНС) (2)'!E873,'зведена (БАЛАНС) (2)'!F873-'зведена (БАЛАНС) (2)'!E873,0)</f>
        <v>6202.7</v>
      </c>
    </row>
    <row r="874" spans="1:6" x14ac:dyDescent="0.25">
      <c r="A874" s="38">
        <v>14</v>
      </c>
      <c r="B874" s="34" t="s">
        <v>984</v>
      </c>
      <c r="C874" s="18" t="s">
        <v>703</v>
      </c>
      <c r="D874" s="32" t="s">
        <v>1618</v>
      </c>
      <c r="E874" s="5">
        <f>IF('зведена (БАЛАНС) (2)'!E874&gt;'зведена (БАЛАНС) (2)'!F874,'зведена (БАЛАНС) (2)'!E874-'зведена (БАЛАНС) (2)'!F874,0)</f>
        <v>0</v>
      </c>
      <c r="F874" s="5">
        <f>IF('зведена (БАЛАНС) (2)'!F874&gt;'зведена (БАЛАНС) (2)'!E874,'зведена (БАЛАНС) (2)'!F874-'зведена (БАЛАНС) (2)'!E874,0)</f>
        <v>0</v>
      </c>
    </row>
    <row r="875" spans="1:6" x14ac:dyDescent="0.25">
      <c r="A875" s="38">
        <v>14</v>
      </c>
      <c r="B875" s="34" t="s">
        <v>984</v>
      </c>
      <c r="C875" s="18" t="s">
        <v>704</v>
      </c>
      <c r="D875" s="32" t="s">
        <v>2075</v>
      </c>
      <c r="E875" s="5">
        <f>IF('зведена (БАЛАНС) (2)'!E875&gt;'зведена (БАЛАНС) (2)'!F875,'зведена (БАЛАНС) (2)'!E875-'зведена (БАЛАНС) (2)'!F875,0)</f>
        <v>0</v>
      </c>
      <c r="F875" s="5">
        <f>IF('зведена (БАЛАНС) (2)'!F875&gt;'зведена (БАЛАНС) (2)'!E875,'зведена (БАЛАНС) (2)'!F875-'зведена (БАЛАНС) (2)'!E875,0)</f>
        <v>268.3</v>
      </c>
    </row>
    <row r="876" spans="1:6" x14ac:dyDescent="0.25">
      <c r="A876" s="38">
        <v>14</v>
      </c>
      <c r="B876" s="34" t="s">
        <v>985</v>
      </c>
      <c r="C876" s="18" t="s">
        <v>705</v>
      </c>
      <c r="D876" s="32" t="s">
        <v>2076</v>
      </c>
      <c r="E876" s="5">
        <f>IF('зведена (БАЛАНС) (2)'!E876&gt;'зведена (БАЛАНС) (2)'!F876,'зведена (БАЛАНС) (2)'!E876-'зведена (БАЛАНС) (2)'!F876,0)</f>
        <v>0</v>
      </c>
      <c r="F876" s="5">
        <f>IF('зведена (БАЛАНС) (2)'!F876&gt;'зведена (БАЛАНС) (2)'!E876,'зведена (БАЛАНС) (2)'!F876-'зведена (БАЛАНС) (2)'!E876,0)</f>
        <v>4486.1000000000004</v>
      </c>
    </row>
    <row r="877" spans="1:6" x14ac:dyDescent="0.25">
      <c r="A877" s="38">
        <v>14</v>
      </c>
      <c r="B877" s="34" t="s">
        <v>986</v>
      </c>
      <c r="C877" s="18">
        <v>14529000000</v>
      </c>
      <c r="D877" s="32" t="s">
        <v>3041</v>
      </c>
      <c r="E877" s="5">
        <f>IF('зведена (БАЛАНС) (2)'!E877&gt;'зведена (БАЛАНС) (2)'!F877,'зведена (БАЛАНС) (2)'!E877-'зведена (БАЛАНС) (2)'!F877,0)</f>
        <v>0</v>
      </c>
      <c r="F877" s="5">
        <f>IF('зведена (БАЛАНС) (2)'!F877&gt;'зведена (БАЛАНС) (2)'!E877,'зведена (БАЛАНС) (2)'!F877-'зведена (БАЛАНС) (2)'!E877,0)</f>
        <v>8261.1</v>
      </c>
    </row>
    <row r="878" spans="1:6" x14ac:dyDescent="0.25">
      <c r="A878" s="38">
        <v>14</v>
      </c>
      <c r="B878" s="34" t="s">
        <v>985</v>
      </c>
      <c r="C878" s="18">
        <v>14530000000</v>
      </c>
      <c r="D878" s="32" t="s">
        <v>3042</v>
      </c>
      <c r="E878" s="5">
        <f>IF('зведена (БАЛАНС) (2)'!E878&gt;'зведена (БАЛАНС) (2)'!F878,'зведена (БАЛАНС) (2)'!E878-'зведена (БАЛАНС) (2)'!F878,0)</f>
        <v>0</v>
      </c>
      <c r="F878" s="5">
        <f>IF('зведена (БАЛАНС) (2)'!F878&gt;'зведена (БАЛАНС) (2)'!E878,'зведена (БАЛАНС) (2)'!F878-'зведена (БАЛАНС) (2)'!E878,0)</f>
        <v>12469.3</v>
      </c>
    </row>
    <row r="879" spans="1:6" x14ac:dyDescent="0.25">
      <c r="A879" s="38">
        <v>14</v>
      </c>
      <c r="B879" s="34" t="s">
        <v>983</v>
      </c>
      <c r="C879" s="18">
        <v>14531000000</v>
      </c>
      <c r="D879" s="32" t="s">
        <v>2831</v>
      </c>
      <c r="E879" s="5">
        <f>IF('зведена (БАЛАНС) (2)'!E879&gt;'зведена (БАЛАНС) (2)'!F879,'зведена (БАЛАНС) (2)'!E879-'зведена (БАЛАНС) (2)'!F879,0)</f>
        <v>0</v>
      </c>
      <c r="F879" s="5">
        <f>IF('зведена (БАЛАНС) (2)'!F879&gt;'зведена (БАЛАНС) (2)'!E879,'зведена (БАЛАНС) (2)'!F879-'зведена (БАЛАНС) (2)'!E879,0)</f>
        <v>17098.8</v>
      </c>
    </row>
    <row r="880" spans="1:6" x14ac:dyDescent="0.25">
      <c r="A880" s="38">
        <v>14</v>
      </c>
      <c r="B880" s="34" t="s">
        <v>983</v>
      </c>
      <c r="C880" s="18">
        <v>14532000000</v>
      </c>
      <c r="D880" s="32" t="s">
        <v>3043</v>
      </c>
      <c r="E880" s="5">
        <f>IF('зведена (БАЛАНС) (2)'!E880&gt;'зведена (БАЛАНС) (2)'!F880,'зведена (БАЛАНС) (2)'!E880-'зведена (БАЛАНС) (2)'!F880,0)</f>
        <v>0</v>
      </c>
      <c r="F880" s="5">
        <f>IF('зведена (БАЛАНС) (2)'!F880&gt;'зведена (БАЛАНС) (2)'!E880,'зведена (БАЛАНС) (2)'!F880-'зведена (БАЛАНС) (2)'!E880,0)</f>
        <v>10427</v>
      </c>
    </row>
    <row r="881" spans="1:6" x14ac:dyDescent="0.25">
      <c r="A881" s="38">
        <v>14</v>
      </c>
      <c r="B881" s="34" t="s">
        <v>984</v>
      </c>
      <c r="C881" s="18">
        <v>14534000000</v>
      </c>
      <c r="D881" s="32" t="s">
        <v>3044</v>
      </c>
      <c r="E881" s="5">
        <f>IF('зведена (БАЛАНС) (2)'!E881&gt;'зведена (БАЛАНС) (2)'!F881,'зведена (БАЛАНС) (2)'!E881-'зведена (БАЛАНС) (2)'!F881,0)</f>
        <v>0</v>
      </c>
      <c r="F881" s="5">
        <f>IF('зведена (БАЛАНС) (2)'!F881&gt;'зведена (БАЛАНС) (2)'!E881,'зведена (БАЛАНС) (2)'!F881-'зведена (БАЛАНС) (2)'!E881,0)</f>
        <v>6177.1</v>
      </c>
    </row>
    <row r="882" spans="1:6" x14ac:dyDescent="0.25">
      <c r="A882" s="38">
        <v>14</v>
      </c>
      <c r="B882" s="34" t="s">
        <v>984</v>
      </c>
      <c r="C882" s="18">
        <v>14535000000</v>
      </c>
      <c r="D882" s="32" t="s">
        <v>3045</v>
      </c>
      <c r="E882" s="5">
        <f>IF('зведена (БАЛАНС) (2)'!E882&gt;'зведена (БАЛАНС) (2)'!F882,'зведена (БАЛАНС) (2)'!E882-'зведена (БАЛАНС) (2)'!F882,0)</f>
        <v>0</v>
      </c>
      <c r="F882" s="5">
        <f>IF('зведена (БАЛАНС) (2)'!F882&gt;'зведена (БАЛАНС) (2)'!E882,'зведена (БАЛАНС) (2)'!F882-'зведена (БАЛАНС) (2)'!E882,0)</f>
        <v>5428.3</v>
      </c>
    </row>
    <row r="883" spans="1:6" x14ac:dyDescent="0.25">
      <c r="A883" s="38">
        <v>14</v>
      </c>
      <c r="B883" s="34" t="s">
        <v>984</v>
      </c>
      <c r="C883" s="18">
        <v>14538000000</v>
      </c>
      <c r="D883" s="32" t="s">
        <v>3046</v>
      </c>
      <c r="E883" s="5">
        <f>IF('зведена (БАЛАНС) (2)'!E883&gt;'зведена (БАЛАНС) (2)'!F883,'зведена (БАЛАНС) (2)'!E883-'зведена (БАЛАНС) (2)'!F883,0)</f>
        <v>138.1</v>
      </c>
      <c r="F883" s="5">
        <f>IF('зведена (БАЛАНС) (2)'!F883&gt;'зведена (БАЛАНС) (2)'!E883,'зведена (БАЛАНС) (2)'!F883-'зведена (БАЛАНС) (2)'!E883,0)</f>
        <v>0</v>
      </c>
    </row>
    <row r="884" spans="1:6" x14ac:dyDescent="0.25">
      <c r="A884" s="38">
        <v>14</v>
      </c>
      <c r="B884" s="34" t="s">
        <v>984</v>
      </c>
      <c r="C884" s="18">
        <v>14539000000</v>
      </c>
      <c r="D884" s="32" t="s">
        <v>3047</v>
      </c>
      <c r="E884" s="5">
        <f>IF('зведена (БАЛАНС) (2)'!E884&gt;'зведена (БАЛАНС) (2)'!F884,'зведена (БАЛАНС) (2)'!E884-'зведена (БАЛАНС) (2)'!F884,0)</f>
        <v>0</v>
      </c>
      <c r="F884" s="5">
        <f>IF('зведена (БАЛАНС) (2)'!F884&gt;'зведена (БАЛАНС) (2)'!E884,'зведена (БАЛАНС) (2)'!F884-'зведена (БАЛАНС) (2)'!E884,0)</f>
        <v>2919.7</v>
      </c>
    </row>
    <row r="885" spans="1:6" x14ac:dyDescent="0.25">
      <c r="A885" s="38">
        <v>14</v>
      </c>
      <c r="B885" s="34" t="s">
        <v>984</v>
      </c>
      <c r="C885" s="18">
        <v>14540000000</v>
      </c>
      <c r="D885" s="32" t="s">
        <v>3048</v>
      </c>
      <c r="E885" s="5">
        <f>IF('зведена (БАЛАНС) (2)'!E885&gt;'зведена (БАЛАНС) (2)'!F885,'зведена (БАЛАНС) (2)'!E885-'зведена (БАЛАНС) (2)'!F885,0)</f>
        <v>0</v>
      </c>
      <c r="F885" s="5">
        <f>IF('зведена (БАЛАНС) (2)'!F885&gt;'зведена (БАЛАНС) (2)'!E885,'зведена (БАЛАНС) (2)'!F885-'зведена (БАЛАНС) (2)'!E885,0)</f>
        <v>6089.1</v>
      </c>
    </row>
    <row r="886" spans="1:6" x14ac:dyDescent="0.25">
      <c r="A886" s="38">
        <v>14</v>
      </c>
      <c r="B886" s="34" t="s">
        <v>984</v>
      </c>
      <c r="C886" s="18">
        <v>14541000000</v>
      </c>
      <c r="D886" s="32" t="s">
        <v>3049</v>
      </c>
      <c r="E886" s="5">
        <f>IF('зведена (БАЛАНС) (2)'!E886&gt;'зведена (БАЛАНС) (2)'!F886,'зведена (БАЛАНС) (2)'!E886-'зведена (БАЛАНС) (2)'!F886,0)</f>
        <v>0</v>
      </c>
      <c r="F886" s="5">
        <f>IF('зведена (БАЛАНС) (2)'!F886&gt;'зведена (БАЛАНС) (2)'!E886,'зведена (БАЛАНС) (2)'!F886-'зведена (БАЛАНС) (2)'!E886,0)</f>
        <v>7194.1</v>
      </c>
    </row>
    <row r="887" spans="1:6" ht="31.5" x14ac:dyDescent="0.25">
      <c r="A887" s="38">
        <v>14</v>
      </c>
      <c r="B887" s="34" t="s">
        <v>984</v>
      </c>
      <c r="C887" s="18">
        <v>14542000000</v>
      </c>
      <c r="D887" s="32" t="s">
        <v>3050</v>
      </c>
      <c r="E887" s="5">
        <f>IF('зведена (БАЛАНС) (2)'!E887&gt;'зведена (БАЛАНС) (2)'!F887,'зведена (БАЛАНС) (2)'!E887-'зведена (БАЛАНС) (2)'!F887,0)</f>
        <v>298.5</v>
      </c>
      <c r="F887" s="5">
        <f>IF('зведена (БАЛАНС) (2)'!F887&gt;'зведена (БАЛАНС) (2)'!E887,'зведена (БАЛАНС) (2)'!F887-'зведена (БАЛАНС) (2)'!E887,0)</f>
        <v>0</v>
      </c>
    </row>
    <row r="888" spans="1:6" x14ac:dyDescent="0.25">
      <c r="A888" s="38">
        <v>14</v>
      </c>
      <c r="B888" s="34" t="s">
        <v>985</v>
      </c>
      <c r="C888" s="18">
        <v>14543000000</v>
      </c>
      <c r="D888" s="80" t="s">
        <v>2087</v>
      </c>
      <c r="E888" s="5">
        <f>IF('зведена (БАЛАНС) (2)'!E888&gt;'зведена (БАЛАНС) (2)'!F888,'зведена (БАЛАНС) (2)'!E888-'зведена (БАЛАНС) (2)'!F888,0)</f>
        <v>0</v>
      </c>
      <c r="F888" s="5">
        <f>IF('зведена (БАЛАНС) (2)'!F888&gt;'зведена (БАЛАНС) (2)'!E888,'зведена (БАЛАНС) (2)'!F888-'зведена (БАЛАНС) (2)'!E888,0)</f>
        <v>7102.5</v>
      </c>
    </row>
    <row r="889" spans="1:6" x14ac:dyDescent="0.25">
      <c r="A889" s="38">
        <v>14</v>
      </c>
      <c r="B889" s="34" t="s">
        <v>985</v>
      </c>
      <c r="C889" s="18">
        <v>14544000000</v>
      </c>
      <c r="D889" s="80" t="s">
        <v>2088</v>
      </c>
      <c r="E889" s="5">
        <f>IF('зведена (БАЛАНС) (2)'!E889&gt;'зведена (БАЛАНС) (2)'!F889,'зведена (БАЛАНС) (2)'!E889-'зведена (БАЛАНС) (2)'!F889,0)</f>
        <v>0</v>
      </c>
      <c r="F889" s="5">
        <f>IF('зведена (БАЛАНС) (2)'!F889&gt;'зведена (БАЛАНС) (2)'!E889,'зведена (БАЛАНС) (2)'!F889-'зведена (БАЛАНС) (2)'!E889,0)</f>
        <v>16344.5</v>
      </c>
    </row>
    <row r="890" spans="1:6" x14ac:dyDescent="0.25">
      <c r="A890" s="38">
        <v>14</v>
      </c>
      <c r="B890" s="34" t="s">
        <v>985</v>
      </c>
      <c r="C890" s="18">
        <v>14545000000</v>
      </c>
      <c r="D890" s="80" t="s">
        <v>2089</v>
      </c>
      <c r="E890" s="5">
        <f>IF('зведена (БАЛАНС) (2)'!E890&gt;'зведена (БАЛАНС) (2)'!F890,'зведена (БАЛАНС) (2)'!E890-'зведена (БАЛАНС) (2)'!F890,0)</f>
        <v>0</v>
      </c>
      <c r="F890" s="5">
        <f>IF('зведена (БАЛАНС) (2)'!F890&gt;'зведена (БАЛАНС) (2)'!E890,'зведена (БАЛАНС) (2)'!F890-'зведена (БАЛАНС) (2)'!E890,0)</f>
        <v>4848.7</v>
      </c>
    </row>
    <row r="891" spans="1:6" x14ac:dyDescent="0.25">
      <c r="A891" s="38">
        <v>14</v>
      </c>
      <c r="B891" s="34" t="s">
        <v>984</v>
      </c>
      <c r="C891" s="18">
        <v>14546000000</v>
      </c>
      <c r="D891" s="80" t="s">
        <v>2090</v>
      </c>
      <c r="E891" s="5">
        <f>IF('зведена (БАЛАНС) (2)'!E891&gt;'зведена (БАЛАНС) (2)'!F891,'зведена (БАЛАНС) (2)'!E891-'зведена (БАЛАНС) (2)'!F891,0)</f>
        <v>0</v>
      </c>
      <c r="F891" s="5">
        <f>IF('зведена (БАЛАНС) (2)'!F891&gt;'зведена (БАЛАНС) (2)'!E891,'зведена (БАЛАНС) (2)'!F891-'зведена (БАЛАНС) (2)'!E891,0)</f>
        <v>6563</v>
      </c>
    </row>
    <row r="892" spans="1:6" x14ac:dyDescent="0.25">
      <c r="A892" s="38">
        <v>14</v>
      </c>
      <c r="B892" s="34" t="s">
        <v>984</v>
      </c>
      <c r="C892" s="18">
        <v>14547000000</v>
      </c>
      <c r="D892" s="80" t="s">
        <v>1659</v>
      </c>
      <c r="E892" s="5">
        <f>IF('зведена (БАЛАНС) (2)'!E892&gt;'зведена (БАЛАНС) (2)'!F892,'зведена (БАЛАНС) (2)'!E892-'зведена (БАЛАНС) (2)'!F892,0)</f>
        <v>0</v>
      </c>
      <c r="F892" s="5">
        <f>IF('зведена (БАЛАНС) (2)'!F892&gt;'зведена (БАЛАНС) (2)'!E892,'зведена (БАЛАНС) (2)'!F892-'зведена (БАЛАНС) (2)'!E892,0)</f>
        <v>6575.6</v>
      </c>
    </row>
    <row r="893" spans="1:6" x14ac:dyDescent="0.25">
      <c r="A893" s="38">
        <v>14</v>
      </c>
      <c r="B893" s="34" t="s">
        <v>985</v>
      </c>
      <c r="C893" s="18">
        <v>14548000000</v>
      </c>
      <c r="D893" s="80" t="s">
        <v>2091</v>
      </c>
      <c r="E893" s="5">
        <f>IF('зведена (БАЛАНС) (2)'!E893&gt;'зведена (БАЛАНС) (2)'!F893,'зведена (БАЛАНС) (2)'!E893-'зведена (БАЛАНС) (2)'!F893,0)</f>
        <v>0</v>
      </c>
      <c r="F893" s="5">
        <f>IF('зведена (БАЛАНС) (2)'!F893&gt;'зведена (БАЛАНС) (2)'!E893,'зведена (БАЛАНС) (2)'!F893-'зведена (БАЛАНС) (2)'!E893,0)</f>
        <v>20304.3</v>
      </c>
    </row>
    <row r="894" spans="1:6" x14ac:dyDescent="0.25">
      <c r="A894" s="38">
        <v>14</v>
      </c>
      <c r="B894" s="34" t="s">
        <v>986</v>
      </c>
      <c r="C894" s="18">
        <v>14549000000</v>
      </c>
      <c r="D894" s="80" t="s">
        <v>2092</v>
      </c>
      <c r="E894" s="5">
        <f>IF('зведена (БАЛАНС) (2)'!E894&gt;'зведена (БАЛАНС) (2)'!F894,'зведена (БАЛАНС) (2)'!E894-'зведена (БАЛАНС) (2)'!F894,0)</f>
        <v>144454.5</v>
      </c>
      <c r="F894" s="5">
        <f>IF('зведена (БАЛАНС) (2)'!F894&gt;'зведена (БАЛАНС) (2)'!E894,'зведена (БАЛАНС) (2)'!F894-'зведена (БАЛАНС) (2)'!E894,0)</f>
        <v>0</v>
      </c>
    </row>
    <row r="895" spans="1:6" x14ac:dyDescent="0.25">
      <c r="A895" s="38">
        <v>14</v>
      </c>
      <c r="B895" s="34" t="s">
        <v>983</v>
      </c>
      <c r="C895" s="18">
        <v>14550000000</v>
      </c>
      <c r="D895" s="80" t="s">
        <v>2093</v>
      </c>
      <c r="E895" s="5">
        <f>IF('зведена (БАЛАНС) (2)'!E895&gt;'зведена (БАЛАНС) (2)'!F895,'зведена (БАЛАНС) (2)'!E895-'зведена (БАЛАНС) (2)'!F895,0)</f>
        <v>0</v>
      </c>
      <c r="F895" s="5">
        <f>IF('зведена (БАЛАНС) (2)'!F895&gt;'зведена (БАЛАНС) (2)'!E895,'зведена (БАЛАНС) (2)'!F895-'зведена (БАЛАНС) (2)'!E895,0)</f>
        <v>5641.5</v>
      </c>
    </row>
    <row r="896" spans="1:6" x14ac:dyDescent="0.25">
      <c r="A896" s="38">
        <v>14</v>
      </c>
      <c r="B896" s="34" t="s">
        <v>986</v>
      </c>
      <c r="C896" s="18">
        <v>14551000000</v>
      </c>
      <c r="D896" s="80" t="s">
        <v>2094</v>
      </c>
      <c r="E896" s="5">
        <f>IF('зведена (БАЛАНС) (2)'!E896&gt;'зведена (БАЛАНС) (2)'!F896,'зведена (БАЛАНС) (2)'!E896-'зведена (БАЛАНС) (2)'!F896,0)</f>
        <v>8100.4</v>
      </c>
      <c r="F896" s="5">
        <f>IF('зведена (БАЛАНС) (2)'!F896&gt;'зведена (БАЛАНС) (2)'!E896,'зведена (БАЛАНС) (2)'!F896-'зведена (БАЛАНС) (2)'!E896,0)</f>
        <v>0</v>
      </c>
    </row>
    <row r="897" spans="1:6" s="29" customFormat="1" x14ac:dyDescent="0.25">
      <c r="A897" s="38">
        <v>14</v>
      </c>
      <c r="B897" s="34" t="s">
        <v>986</v>
      </c>
      <c r="C897" s="18">
        <v>14552000000</v>
      </c>
      <c r="D897" s="80" t="s">
        <v>2095</v>
      </c>
      <c r="E897" s="5">
        <f>IF('зведена (БАЛАНС) (2)'!E897&gt;'зведена (БАЛАНС) (2)'!F897,'зведена (БАЛАНС) (2)'!E897-'зведена (БАЛАНС) (2)'!F897,0)</f>
        <v>0</v>
      </c>
      <c r="F897" s="5">
        <f>IF('зведена (БАЛАНС) (2)'!F897&gt;'зведена (БАЛАНС) (2)'!E897,'зведена (БАЛАНС) (2)'!F897-'зведена (БАЛАНС) (2)'!E897,0)</f>
        <v>39645.9</v>
      </c>
    </row>
    <row r="898" spans="1:6" s="29" customFormat="1" x14ac:dyDescent="0.25">
      <c r="A898" s="38">
        <v>14</v>
      </c>
      <c r="B898" s="34" t="s">
        <v>985</v>
      </c>
      <c r="C898" s="18">
        <v>14553000000</v>
      </c>
      <c r="D898" s="80" t="s">
        <v>2096</v>
      </c>
      <c r="E898" s="5">
        <f>IF('зведена (БАЛАНС) (2)'!E898&gt;'зведена (БАЛАНС) (2)'!F898,'зведена (БАЛАНС) (2)'!E898-'зведена (БАЛАНС) (2)'!F898,0)</f>
        <v>0</v>
      </c>
      <c r="F898" s="5">
        <f>IF('зведена (БАЛАНС) (2)'!F898&gt;'зведена (БАЛАНС) (2)'!E898,'зведена (БАЛАНС) (2)'!F898-'зведена (БАЛАНС) (2)'!E898,0)</f>
        <v>9898.9</v>
      </c>
    </row>
    <row r="899" spans="1:6" s="29" customFormat="1" x14ac:dyDescent="0.25">
      <c r="A899" s="38">
        <v>14</v>
      </c>
      <c r="B899" s="34" t="s">
        <v>984</v>
      </c>
      <c r="C899" s="18">
        <v>14554000000</v>
      </c>
      <c r="D899" s="80" t="s">
        <v>2097</v>
      </c>
      <c r="E899" s="5">
        <f>IF('зведена (БАЛАНС) (2)'!E899&gt;'зведена (БАЛАНС) (2)'!F899,'зведена (БАЛАНС) (2)'!E899-'зведена (БАЛАНС) (2)'!F899,0)</f>
        <v>0</v>
      </c>
      <c r="F899" s="5">
        <f>IF('зведена (БАЛАНС) (2)'!F899&gt;'зведена (БАЛАНС) (2)'!E899,'зведена (БАЛАНС) (2)'!F899-'зведена (БАЛАНС) (2)'!E899,0)</f>
        <v>7531.4</v>
      </c>
    </row>
    <row r="900" spans="1:6" x14ac:dyDescent="0.25">
      <c r="A900" s="38">
        <v>14</v>
      </c>
      <c r="B900" s="34" t="s">
        <v>984</v>
      </c>
      <c r="C900" s="18">
        <v>14555000000</v>
      </c>
      <c r="D900" s="80" t="s">
        <v>2098</v>
      </c>
      <c r="E900" s="5">
        <f>IF('зведена (БАЛАНС) (2)'!E900&gt;'зведена (БАЛАНС) (2)'!F900,'зведена (БАЛАНС) (2)'!E900-'зведена (БАЛАНС) (2)'!F900,0)</f>
        <v>0</v>
      </c>
      <c r="F900" s="5">
        <f>IF('зведена (БАЛАНС) (2)'!F900&gt;'зведена (БАЛАНС) (2)'!E900,'зведена (БАЛАНС) (2)'!F900-'зведена (БАЛАНС) (2)'!E900,0)</f>
        <v>923</v>
      </c>
    </row>
    <row r="901" spans="1:6" x14ac:dyDescent="0.25">
      <c r="A901" s="38">
        <v>14</v>
      </c>
      <c r="B901" s="34" t="s">
        <v>984</v>
      </c>
      <c r="C901" s="18">
        <v>14556000000</v>
      </c>
      <c r="D901" s="80" t="s">
        <v>2099</v>
      </c>
      <c r="E901" s="5">
        <f>IF('зведена (БАЛАНС) (2)'!E901&gt;'зведена (БАЛАНС) (2)'!F901,'зведена (БАЛАНС) (2)'!E901-'зведена (БАЛАНС) (2)'!F901,0)</f>
        <v>0</v>
      </c>
      <c r="F901" s="5">
        <f>IF('зведена (БАЛАНС) (2)'!F901&gt;'зведена (БАЛАНС) (2)'!E901,'зведена (БАЛАНС) (2)'!F901-'зведена (БАЛАНС) (2)'!E901,0)</f>
        <v>2372.6999999999998</v>
      </c>
    </row>
    <row r="902" spans="1:6" s="28" customFormat="1" x14ac:dyDescent="0.25">
      <c r="A902" s="38">
        <v>14</v>
      </c>
      <c r="B902" s="34" t="s">
        <v>986</v>
      </c>
      <c r="C902" s="18">
        <v>14557000000</v>
      </c>
      <c r="D902" s="80" t="s">
        <v>2100</v>
      </c>
      <c r="E902" s="5">
        <f>IF('зведена (БАЛАНС) (2)'!E902&gt;'зведена (БАЛАНС) (2)'!F902,'зведена (БАЛАНС) (2)'!E902-'зведена (БАЛАНС) (2)'!F902,0)</f>
        <v>122820.6</v>
      </c>
      <c r="F902" s="5">
        <f>IF('зведена (БАЛАНС) (2)'!F902&gt;'зведена (БАЛАНС) (2)'!E902,'зведена (БАЛАНС) (2)'!F902-'зведена (БАЛАНС) (2)'!E902,0)</f>
        <v>0</v>
      </c>
    </row>
    <row r="903" spans="1:6" s="28" customFormat="1" x14ac:dyDescent="0.25">
      <c r="A903" s="36">
        <v>15</v>
      </c>
      <c r="B903" s="17" t="s">
        <v>7</v>
      </c>
      <c r="C903" s="17" t="s">
        <v>796</v>
      </c>
      <c r="D903" s="11" t="s">
        <v>17</v>
      </c>
      <c r="E903" s="11">
        <f>E904+E905+E913</f>
        <v>652842.1</v>
      </c>
      <c r="F903" s="11">
        <f>F904+F905+F913</f>
        <v>1059611.8000000003</v>
      </c>
    </row>
    <row r="904" spans="1:6" s="28" customFormat="1" x14ac:dyDescent="0.25">
      <c r="A904" s="38">
        <v>15</v>
      </c>
      <c r="B904" s="34" t="s">
        <v>6</v>
      </c>
      <c r="C904" s="18" t="s">
        <v>133</v>
      </c>
      <c r="D904" s="32" t="s">
        <v>853</v>
      </c>
      <c r="E904" s="5">
        <f>IF('зведена (БАЛАНС) (2)'!E904&gt;'зведена (БАЛАНС) (2)'!F904,'зведена (БАЛАНС) (2)'!E904-'зведена (БАЛАНС) (2)'!F904,0)</f>
        <v>0</v>
      </c>
      <c r="F904" s="5">
        <f>IF('зведена (БАЛАНС) (2)'!F904&gt;'зведена (БАЛАНС) (2)'!E904,'зведена (БАЛАНС) (2)'!F904-'зведена (БАЛАНС) (2)'!E904,0)</f>
        <v>0</v>
      </c>
    </row>
    <row r="905" spans="1:6" s="28" customFormat="1" x14ac:dyDescent="0.25">
      <c r="A905" s="37">
        <v>15</v>
      </c>
      <c r="B905" s="19" t="s">
        <v>5</v>
      </c>
      <c r="C905" s="19" t="s">
        <v>797</v>
      </c>
      <c r="D905" s="7" t="s">
        <v>2807</v>
      </c>
      <c r="E905" s="7">
        <f>SUM(E906:E912)</f>
        <v>0</v>
      </c>
      <c r="F905" s="7">
        <f>SUM(F906:F912)</f>
        <v>0</v>
      </c>
    </row>
    <row r="906" spans="1:6" s="28" customFormat="1" x14ac:dyDescent="0.25">
      <c r="A906" s="38">
        <v>15</v>
      </c>
      <c r="B906" s="34" t="s">
        <v>4</v>
      </c>
      <c r="C906" s="18" t="s">
        <v>2754</v>
      </c>
      <c r="D906" s="32" t="s">
        <v>2755</v>
      </c>
      <c r="E906" s="5">
        <f>IF('зведена (БАЛАНС) (2)'!E906&gt;'зведена (БАЛАНС) (2)'!F906,'зведена (БАЛАНС) (2)'!E906-'зведена (БАЛАНС) (2)'!F906,0)</f>
        <v>0</v>
      </c>
      <c r="F906" s="5">
        <f>IF('зведена (БАЛАНС) (2)'!F906&gt;'зведена (БАЛАНС) (2)'!E906,'зведена (БАЛАНС) (2)'!F906-'зведена (БАЛАНС) (2)'!E906,0)</f>
        <v>0</v>
      </c>
    </row>
    <row r="907" spans="1:6" s="28" customFormat="1" x14ac:dyDescent="0.25">
      <c r="A907" s="38">
        <v>15</v>
      </c>
      <c r="B907" s="34" t="s">
        <v>4</v>
      </c>
      <c r="C907" s="18" t="s">
        <v>134</v>
      </c>
      <c r="D907" s="32" t="s">
        <v>933</v>
      </c>
      <c r="E907" s="5">
        <f>IF('зведена (БАЛАНС) (2)'!E907&gt;'зведена (БАЛАНС) (2)'!F907,'зведена (БАЛАНС) (2)'!E907-'зведена (БАЛАНС) (2)'!F907,0)</f>
        <v>0</v>
      </c>
      <c r="F907" s="5">
        <f>IF('зведена (БАЛАНС) (2)'!F907&gt;'зведена (БАЛАНС) (2)'!E907,'зведена (БАЛАНС) (2)'!F907-'зведена (БАЛАНС) (2)'!E907,0)</f>
        <v>0</v>
      </c>
    </row>
    <row r="908" spans="1:6" s="28" customFormat="1" x14ac:dyDescent="0.25">
      <c r="A908" s="38">
        <v>15</v>
      </c>
      <c r="B908" s="34" t="s">
        <v>4</v>
      </c>
      <c r="C908" s="18" t="s">
        <v>135</v>
      </c>
      <c r="D908" s="32" t="s">
        <v>934</v>
      </c>
      <c r="E908" s="5">
        <f>IF('зведена (БАЛАНС) (2)'!E908&gt;'зведена (БАЛАНС) (2)'!F908,'зведена (БАЛАНС) (2)'!E908-'зведена (БАЛАНС) (2)'!F908,0)</f>
        <v>0</v>
      </c>
      <c r="F908" s="5">
        <f>IF('зведена (БАЛАНС) (2)'!F908&gt;'зведена (БАЛАНС) (2)'!E908,'зведена (БАЛАНС) (2)'!F908-'зведена (БАЛАНС) (2)'!E908,0)</f>
        <v>0</v>
      </c>
    </row>
    <row r="909" spans="1:6" s="28" customFormat="1" x14ac:dyDescent="0.25">
      <c r="A909" s="38">
        <v>15</v>
      </c>
      <c r="B909" s="34" t="s">
        <v>4</v>
      </c>
      <c r="C909" s="18" t="s">
        <v>136</v>
      </c>
      <c r="D909" s="32" t="s">
        <v>935</v>
      </c>
      <c r="E909" s="5">
        <f>IF('зведена (БАЛАНС) (2)'!E909&gt;'зведена (БАЛАНС) (2)'!F909,'зведена (БАЛАНС) (2)'!E909-'зведена (БАЛАНС) (2)'!F909,0)</f>
        <v>0</v>
      </c>
      <c r="F909" s="5">
        <f>IF('зведена (БАЛАНС) (2)'!F909&gt;'зведена (БАЛАНС) (2)'!E909,'зведена (БАЛАНС) (2)'!F909-'зведена (БАЛАНС) (2)'!E909,0)</f>
        <v>0</v>
      </c>
    </row>
    <row r="910" spans="1:6" s="28" customFormat="1" x14ac:dyDescent="0.25">
      <c r="A910" s="38">
        <v>15</v>
      </c>
      <c r="B910" s="34" t="s">
        <v>4</v>
      </c>
      <c r="C910" s="18">
        <v>15314200000</v>
      </c>
      <c r="D910" s="32" t="s">
        <v>2101</v>
      </c>
      <c r="E910" s="5">
        <f>IF('зведена (БАЛАНС) (2)'!E910&gt;'зведена (БАЛАНС) (2)'!F910,'зведена (БАЛАНС) (2)'!E910-'зведена (БАЛАНС) (2)'!F910,0)</f>
        <v>0</v>
      </c>
      <c r="F910" s="5">
        <f>IF('зведена (БАЛАНС) (2)'!F910&gt;'зведена (БАЛАНС) (2)'!E910,'зведена (БАЛАНС) (2)'!F910-'зведена (БАЛАНС) (2)'!E910,0)</f>
        <v>0</v>
      </c>
    </row>
    <row r="911" spans="1:6" s="28" customFormat="1" x14ac:dyDescent="0.25">
      <c r="A911" s="38">
        <v>15</v>
      </c>
      <c r="B911" s="34" t="s">
        <v>4</v>
      </c>
      <c r="C911" s="18" t="s">
        <v>137</v>
      </c>
      <c r="D911" s="32" t="s">
        <v>936</v>
      </c>
      <c r="E911" s="5">
        <f>IF('зведена (БАЛАНС) (2)'!E911&gt;'зведена (БАЛАНС) (2)'!F911,'зведена (БАЛАНС) (2)'!E911-'зведена (БАЛАНС) (2)'!F911,0)</f>
        <v>0</v>
      </c>
      <c r="F911" s="5">
        <f>IF('зведена (БАЛАНС) (2)'!F911&gt;'зведена (БАЛАНС) (2)'!E911,'зведена (БАЛАНС) (2)'!F911-'зведена (БАЛАНС) (2)'!E911,0)</f>
        <v>0</v>
      </c>
    </row>
    <row r="912" spans="1:6" s="28" customFormat="1" x14ac:dyDescent="0.25">
      <c r="A912" s="38">
        <v>15</v>
      </c>
      <c r="B912" s="34" t="s">
        <v>4</v>
      </c>
      <c r="C912" s="18">
        <v>15327200000</v>
      </c>
      <c r="D912" s="32" t="s">
        <v>2102</v>
      </c>
      <c r="E912" s="5">
        <f>IF('зведена (БАЛАНС) (2)'!E912&gt;'зведена (БАЛАНС) (2)'!F912,'зведена (БАЛАНС) (2)'!E912-'зведена (БАЛАНС) (2)'!F912,0)</f>
        <v>0</v>
      </c>
      <c r="F912" s="5">
        <f>IF('зведена (БАЛАНС) (2)'!F912&gt;'зведена (БАЛАНС) (2)'!E912,'зведена (БАЛАНС) (2)'!F912-'зведена (БАЛАНС) (2)'!E912,0)</f>
        <v>0</v>
      </c>
    </row>
    <row r="913" spans="1:6" s="28" customFormat="1" x14ac:dyDescent="0.25">
      <c r="A913" s="37">
        <v>15</v>
      </c>
      <c r="B913" s="19" t="s">
        <v>28</v>
      </c>
      <c r="C913" s="19" t="s">
        <v>798</v>
      </c>
      <c r="D913" s="20" t="s">
        <v>2781</v>
      </c>
      <c r="E913" s="7">
        <f>SUM(E914:E1004)</f>
        <v>652842.1</v>
      </c>
      <c r="F913" s="7">
        <f>SUM(F914:F1004)</f>
        <v>1059611.8000000003</v>
      </c>
    </row>
    <row r="914" spans="1:6" s="28" customFormat="1" x14ac:dyDescent="0.25">
      <c r="A914" s="38">
        <v>15</v>
      </c>
      <c r="B914" s="34" t="s">
        <v>986</v>
      </c>
      <c r="C914" s="18">
        <v>15501000000</v>
      </c>
      <c r="D914" s="32" t="s">
        <v>3051</v>
      </c>
      <c r="E914" s="5">
        <f>IF('зведена (БАЛАНС) (2)'!E914&gt;'зведена (БАЛАНС) (2)'!F914,'зведена (БАЛАНС) (2)'!E914-'зведена (БАЛАНС) (2)'!F914,0)</f>
        <v>0</v>
      </c>
      <c r="F914" s="5">
        <f>IF('зведена (БАЛАНС) (2)'!F914&gt;'зведена (БАЛАНС) (2)'!E914,'зведена (БАЛАНС) (2)'!F914-'зведена (БАЛАНС) (2)'!E914,0)</f>
        <v>13292.1</v>
      </c>
    </row>
    <row r="915" spans="1:6" s="28" customFormat="1" x14ac:dyDescent="0.25">
      <c r="A915" s="38">
        <v>15</v>
      </c>
      <c r="B915" s="34" t="s">
        <v>986</v>
      </c>
      <c r="C915" s="18">
        <v>15502000000</v>
      </c>
      <c r="D915" s="32" t="s">
        <v>3052</v>
      </c>
      <c r="E915" s="5">
        <f>IF('зведена (БАЛАНС) (2)'!E915&gt;'зведена (БАЛАНС) (2)'!F915,'зведена (БАЛАНС) (2)'!E915-'зведена (БАЛАНС) (2)'!F915,0)</f>
        <v>0</v>
      </c>
      <c r="F915" s="5">
        <f>IF('зведена (БАЛАНС) (2)'!F915&gt;'зведена (БАЛАНС) (2)'!E915,'зведена (БАЛАНС) (2)'!F915-'зведена (БАЛАНС) (2)'!E915,0)</f>
        <v>5338.8</v>
      </c>
    </row>
    <row r="916" spans="1:6" s="28" customFormat="1" x14ac:dyDescent="0.25">
      <c r="A916" s="38">
        <v>15</v>
      </c>
      <c r="B916" s="34" t="s">
        <v>985</v>
      </c>
      <c r="C916" s="18" t="s">
        <v>138</v>
      </c>
      <c r="D916" s="32" t="s">
        <v>2105</v>
      </c>
      <c r="E916" s="5">
        <f>IF('зведена (БАЛАНС) (2)'!E916&gt;'зведена (БАЛАНС) (2)'!F916,'зведена (БАЛАНС) (2)'!E916-'зведена (БАЛАНС) (2)'!F916,0)</f>
        <v>0</v>
      </c>
      <c r="F916" s="5">
        <f>IF('зведена (БАЛАНС) (2)'!F916&gt;'зведена (БАЛАНС) (2)'!E916,'зведена (БАЛАНС) (2)'!F916-'зведена (БАЛАНС) (2)'!E916,0)</f>
        <v>9764.5</v>
      </c>
    </row>
    <row r="917" spans="1:6" s="28" customFormat="1" x14ac:dyDescent="0.25">
      <c r="A917" s="38">
        <v>15</v>
      </c>
      <c r="B917" s="34" t="s">
        <v>984</v>
      </c>
      <c r="C917" s="18" t="s">
        <v>139</v>
      </c>
      <c r="D917" s="32" t="s">
        <v>2106</v>
      </c>
      <c r="E917" s="5">
        <f>IF('зведена (БАЛАНС) (2)'!E917&gt;'зведена (БАЛАНС) (2)'!F917,'зведена (БАЛАНС) (2)'!E917-'зведена (БАЛАНС) (2)'!F917,0)</f>
        <v>0</v>
      </c>
      <c r="F917" s="5">
        <f>IF('зведена (БАЛАНС) (2)'!F917&gt;'зведена (БАЛАНС) (2)'!E917,'зведена (БАЛАНС) (2)'!F917-'зведена (БАЛАНС) (2)'!E917,0)</f>
        <v>0</v>
      </c>
    </row>
    <row r="918" spans="1:6" s="28" customFormat="1" x14ac:dyDescent="0.25">
      <c r="A918" s="38">
        <v>15</v>
      </c>
      <c r="B918" s="34" t="s">
        <v>984</v>
      </c>
      <c r="C918" s="18" t="s">
        <v>140</v>
      </c>
      <c r="D918" s="32" t="s">
        <v>2107</v>
      </c>
      <c r="E918" s="5">
        <f>IF('зведена (БАЛАНС) (2)'!E918&gt;'зведена (БАЛАНС) (2)'!F918,'зведена (БАЛАНС) (2)'!E918-'зведена (БАЛАНС) (2)'!F918,0)</f>
        <v>0</v>
      </c>
      <c r="F918" s="5">
        <f>IF('зведена (БАЛАНС) (2)'!F918&gt;'зведена (БАЛАНС) (2)'!E918,'зведена (БАЛАНС) (2)'!F918-'зведена (БАЛАНС) (2)'!E918,0)</f>
        <v>10415.200000000001</v>
      </c>
    </row>
    <row r="919" spans="1:6" s="28" customFormat="1" x14ac:dyDescent="0.25">
      <c r="A919" s="38">
        <v>15</v>
      </c>
      <c r="B919" s="34" t="s">
        <v>984</v>
      </c>
      <c r="C919" s="18" t="s">
        <v>141</v>
      </c>
      <c r="D919" s="32" t="s">
        <v>2108</v>
      </c>
      <c r="E919" s="5">
        <f>IF('зведена (БАЛАНС) (2)'!E919&gt;'зведена (БАЛАНС) (2)'!F919,'зведена (БАЛАНС) (2)'!E919-'зведена (БАЛАНС) (2)'!F919,0)</f>
        <v>0</v>
      </c>
      <c r="F919" s="5">
        <f>IF('зведена (БАЛАНС) (2)'!F919&gt;'зведена (БАЛАНС) (2)'!E919,'зведена (БАЛАНС) (2)'!F919-'зведена (БАЛАНС) (2)'!E919,0)</f>
        <v>5182.8</v>
      </c>
    </row>
    <row r="920" spans="1:6" s="28" customFormat="1" x14ac:dyDescent="0.25">
      <c r="A920" s="38">
        <v>15</v>
      </c>
      <c r="B920" s="34" t="s">
        <v>984</v>
      </c>
      <c r="C920" s="18" t="s">
        <v>142</v>
      </c>
      <c r="D920" s="32" t="s">
        <v>2109</v>
      </c>
      <c r="E920" s="5">
        <f>IF('зведена (БАЛАНС) (2)'!E920&gt;'зведена (БАЛАНС) (2)'!F920,'зведена (БАЛАНС) (2)'!E920-'зведена (БАЛАНС) (2)'!F920,0)</f>
        <v>0</v>
      </c>
      <c r="F920" s="5">
        <f>IF('зведена (БАЛАНС) (2)'!F920&gt;'зведена (БАЛАНС) (2)'!E920,'зведена (БАЛАНС) (2)'!F920-'зведена (БАЛАНС) (2)'!E920,0)</f>
        <v>4611.3</v>
      </c>
    </row>
    <row r="921" spans="1:6" s="28" customFormat="1" x14ac:dyDescent="0.25">
      <c r="A921" s="38">
        <v>15</v>
      </c>
      <c r="B921" s="34" t="s">
        <v>984</v>
      </c>
      <c r="C921" s="18" t="s">
        <v>143</v>
      </c>
      <c r="D921" s="32" t="s">
        <v>2110</v>
      </c>
      <c r="E921" s="5">
        <f>IF('зведена (БАЛАНС) (2)'!E921&gt;'зведена (БАЛАНС) (2)'!F921,'зведена (БАЛАНС) (2)'!E921-'зведена (БАЛАНС) (2)'!F921,0)</f>
        <v>0</v>
      </c>
      <c r="F921" s="5">
        <f>IF('зведена (БАЛАНС) (2)'!F921&gt;'зведена (БАЛАНС) (2)'!E921,'зведена (БАЛАНС) (2)'!F921-'зведена (БАЛАНС) (2)'!E921,0)</f>
        <v>2641</v>
      </c>
    </row>
    <row r="922" spans="1:6" s="28" customFormat="1" x14ac:dyDescent="0.25">
      <c r="A922" s="38">
        <v>15</v>
      </c>
      <c r="B922" s="34" t="s">
        <v>985</v>
      </c>
      <c r="C922" s="18" t="s">
        <v>401</v>
      </c>
      <c r="D922" s="32" t="s">
        <v>2111</v>
      </c>
      <c r="E922" s="5">
        <f>IF('зведена (БАЛАНС) (2)'!E922&gt;'зведена (БАЛАНС) (2)'!F922,'зведена (БАЛАНС) (2)'!E922-'зведена (БАЛАНС) (2)'!F922,0)</f>
        <v>0</v>
      </c>
      <c r="F922" s="5">
        <f>IF('зведена (БАЛАНС) (2)'!F922&gt;'зведена (БАЛАНС) (2)'!E922,'зведена (БАЛАНС) (2)'!F922-'зведена (БАЛАНС) (2)'!E922,0)</f>
        <v>11164.1</v>
      </c>
    </row>
    <row r="923" spans="1:6" s="28" customFormat="1" x14ac:dyDescent="0.25">
      <c r="A923" s="38">
        <v>15</v>
      </c>
      <c r="B923" s="34" t="s">
        <v>985</v>
      </c>
      <c r="C923" s="18" t="s">
        <v>402</v>
      </c>
      <c r="D923" s="32" t="s">
        <v>2112</v>
      </c>
      <c r="E923" s="5">
        <f>IF('зведена (БАЛАНС) (2)'!E923&gt;'зведена (БАЛАНС) (2)'!F923,'зведена (БАЛАНС) (2)'!E923-'зведена (БАЛАНС) (2)'!F923,0)</f>
        <v>0</v>
      </c>
      <c r="F923" s="5">
        <f>IF('зведена (БАЛАНС) (2)'!F923&gt;'зведена (БАЛАНС) (2)'!E923,'зведена (БАЛАНС) (2)'!F923-'зведена (БАЛАНС) (2)'!E923,0)</f>
        <v>4904.2</v>
      </c>
    </row>
    <row r="924" spans="1:6" s="28" customFormat="1" x14ac:dyDescent="0.25">
      <c r="A924" s="38">
        <v>15</v>
      </c>
      <c r="B924" s="34" t="s">
        <v>984</v>
      </c>
      <c r="C924" s="18" t="s">
        <v>403</v>
      </c>
      <c r="D924" s="32" t="s">
        <v>2113</v>
      </c>
      <c r="E924" s="5">
        <f>IF('зведена (БАЛАНС) (2)'!E924&gt;'зведена (БАЛАНС) (2)'!F924,'зведена (БАЛАНС) (2)'!E924-'зведена (БАЛАНС) (2)'!F924,0)</f>
        <v>0</v>
      </c>
      <c r="F924" s="5">
        <f>IF('зведена (БАЛАНС) (2)'!F924&gt;'зведена (БАЛАНС) (2)'!E924,'зведена (БАЛАНС) (2)'!F924-'зведена (БАЛАНС) (2)'!E924,0)</f>
        <v>4866.3</v>
      </c>
    </row>
    <row r="925" spans="1:6" s="28" customFormat="1" x14ac:dyDescent="0.25">
      <c r="A925" s="38">
        <v>15</v>
      </c>
      <c r="B925" s="34" t="s">
        <v>984</v>
      </c>
      <c r="C925" s="18" t="s">
        <v>491</v>
      </c>
      <c r="D925" s="32" t="s">
        <v>2114</v>
      </c>
      <c r="E925" s="5">
        <f>IF('зведена (БАЛАНС) (2)'!E925&gt;'зведена (БАЛАНС) (2)'!F925,'зведена (БАЛАНС) (2)'!E925-'зведена (БАЛАНС) (2)'!F925,0)</f>
        <v>0</v>
      </c>
      <c r="F925" s="5">
        <f>IF('зведена (БАЛАНС) (2)'!F925&gt;'зведена (БАЛАНС) (2)'!E925,'зведена (БАЛАНС) (2)'!F925-'зведена (БАЛАНС) (2)'!E925,0)</f>
        <v>14824.7</v>
      </c>
    </row>
    <row r="926" spans="1:6" s="28" customFormat="1" x14ac:dyDescent="0.25">
      <c r="A926" s="38">
        <v>15</v>
      </c>
      <c r="B926" s="34" t="s">
        <v>984</v>
      </c>
      <c r="C926" s="18" t="s">
        <v>587</v>
      </c>
      <c r="D926" s="32" t="s">
        <v>2115</v>
      </c>
      <c r="E926" s="5">
        <f>IF('зведена (БАЛАНС) (2)'!E926&gt;'зведена (БАЛАНС) (2)'!F926,'зведена (БАЛАНС) (2)'!E926-'зведена (БАЛАНС) (2)'!F926,0)</f>
        <v>0</v>
      </c>
      <c r="F926" s="5">
        <f>IF('зведена (БАЛАНС) (2)'!F926&gt;'зведена (БАЛАНС) (2)'!E926,'зведена (БАЛАНС) (2)'!F926-'зведена (БАЛАНС) (2)'!E926,0)</f>
        <v>23110.1</v>
      </c>
    </row>
    <row r="927" spans="1:6" s="28" customFormat="1" x14ac:dyDescent="0.25">
      <c r="A927" s="38">
        <v>15</v>
      </c>
      <c r="B927" s="34" t="s">
        <v>983</v>
      </c>
      <c r="C927" s="18" t="s">
        <v>588</v>
      </c>
      <c r="D927" s="32" t="s">
        <v>2116</v>
      </c>
      <c r="E927" s="5">
        <f>IF('зведена (БАЛАНС) (2)'!E927&gt;'зведена (БАЛАНС) (2)'!F927,'зведена (БАЛАНС) (2)'!E927-'зведена (БАЛАНС) (2)'!F927,0)</f>
        <v>0</v>
      </c>
      <c r="F927" s="5">
        <f>IF('зведена (БАЛАНС) (2)'!F927&gt;'зведена (БАЛАНС) (2)'!E927,'зведена (БАЛАНС) (2)'!F927-'зведена (БАЛАНС) (2)'!E927,0)</f>
        <v>8708.4</v>
      </c>
    </row>
    <row r="928" spans="1:6" s="28" customFormat="1" x14ac:dyDescent="0.25">
      <c r="A928" s="38">
        <v>15</v>
      </c>
      <c r="B928" s="34" t="s">
        <v>984</v>
      </c>
      <c r="C928" s="18" t="s">
        <v>589</v>
      </c>
      <c r="D928" s="32" t="s">
        <v>2117</v>
      </c>
      <c r="E928" s="5">
        <f>IF('зведена (БАЛАНС) (2)'!E928&gt;'зведена (БАЛАНС) (2)'!F928,'зведена (БАЛАНС) (2)'!E928-'зведена (БАЛАНС) (2)'!F928,0)</f>
        <v>0</v>
      </c>
      <c r="F928" s="5">
        <f>IF('зведена (БАЛАНС) (2)'!F928&gt;'зведена (БАЛАНС) (2)'!E928,'зведена (БАЛАНС) (2)'!F928-'зведена (БАЛАНС) (2)'!E928,0)</f>
        <v>24910.400000000001</v>
      </c>
    </row>
    <row r="929" spans="1:6" s="28" customFormat="1" x14ac:dyDescent="0.25">
      <c r="A929" s="38">
        <v>15</v>
      </c>
      <c r="B929" s="34" t="s">
        <v>984</v>
      </c>
      <c r="C929" s="18" t="s">
        <v>590</v>
      </c>
      <c r="D929" s="32" t="s">
        <v>2118</v>
      </c>
      <c r="E929" s="5">
        <f>IF('зведена (БАЛАНС) (2)'!E929&gt;'зведена (БАЛАНС) (2)'!F929,'зведена (БАЛАНС) (2)'!E929-'зведена (БАЛАНС) (2)'!F929,0)</f>
        <v>0</v>
      </c>
      <c r="F929" s="5">
        <f>IF('зведена (БАЛАНС) (2)'!F929&gt;'зведена (БАЛАНС) (2)'!E929,'зведена (БАЛАНС) (2)'!F929-'зведена (БАЛАНС) (2)'!E929,0)</f>
        <v>5160.8</v>
      </c>
    </row>
    <row r="930" spans="1:6" s="28" customFormat="1" x14ac:dyDescent="0.25">
      <c r="A930" s="38">
        <v>15</v>
      </c>
      <c r="B930" s="34" t="s">
        <v>983</v>
      </c>
      <c r="C930" s="18" t="s">
        <v>591</v>
      </c>
      <c r="D930" s="32" t="s">
        <v>2119</v>
      </c>
      <c r="E930" s="5">
        <f>IF('зведена (БАЛАНС) (2)'!E930&gt;'зведена (БАЛАНС) (2)'!F930,'зведена (БАЛАНС) (2)'!E930-'зведена (БАЛАНС) (2)'!F930,0)</f>
        <v>0</v>
      </c>
      <c r="F930" s="5">
        <f>IF('зведена (БАЛАНС) (2)'!F930&gt;'зведена (БАЛАНС) (2)'!E930,'зведена (БАЛАНС) (2)'!F930-'зведена (БАЛАНС) (2)'!E930,0)</f>
        <v>16859.7</v>
      </c>
    </row>
    <row r="931" spans="1:6" s="27" customFormat="1" x14ac:dyDescent="0.25">
      <c r="A931" s="38">
        <v>15</v>
      </c>
      <c r="B931" s="34" t="s">
        <v>985</v>
      </c>
      <c r="C931" s="18" t="s">
        <v>592</v>
      </c>
      <c r="D931" s="32" t="s">
        <v>3053</v>
      </c>
      <c r="E931" s="5">
        <f>IF('зведена (БАЛАНС) (2)'!E931&gt;'зведена (БАЛАНС) (2)'!F931,'зведена (БАЛАНС) (2)'!E931-'зведена (БАЛАНС) (2)'!F931,0)</f>
        <v>8777.6</v>
      </c>
      <c r="F931" s="5">
        <f>IF('зведена (БАЛАНС) (2)'!F931&gt;'зведена (БАЛАНС) (2)'!E931,'зведена (БАЛАНС) (2)'!F931-'зведена (БАЛАНС) (2)'!E931,0)</f>
        <v>0</v>
      </c>
    </row>
    <row r="932" spans="1:6" x14ac:dyDescent="0.25">
      <c r="A932" s="38">
        <v>15</v>
      </c>
      <c r="B932" s="34" t="s">
        <v>984</v>
      </c>
      <c r="C932" s="18" t="s">
        <v>593</v>
      </c>
      <c r="D932" s="32" t="s">
        <v>2121</v>
      </c>
      <c r="E932" s="5">
        <f>IF('зведена (БАЛАНС) (2)'!E932&gt;'зведена (БАЛАНС) (2)'!F932,'зведена (БАЛАНС) (2)'!E932-'зведена (БАЛАНС) (2)'!F932,0)</f>
        <v>0</v>
      </c>
      <c r="F932" s="5">
        <f>IF('зведена (БАЛАНС) (2)'!F932&gt;'зведена (БАЛАНС) (2)'!E932,'зведена (БАЛАНС) (2)'!F932-'зведена (БАЛАНС) (2)'!E932,0)</f>
        <v>23925.9</v>
      </c>
    </row>
    <row r="933" spans="1:6" x14ac:dyDescent="0.25">
      <c r="A933" s="38">
        <v>15</v>
      </c>
      <c r="B933" s="34" t="s">
        <v>984</v>
      </c>
      <c r="C933" s="18" t="s">
        <v>594</v>
      </c>
      <c r="D933" s="32" t="s">
        <v>2122</v>
      </c>
      <c r="E933" s="5">
        <f>IF('зведена (БАЛАНС) (2)'!E933&gt;'зведена (БАЛАНС) (2)'!F933,'зведена (БАЛАНС) (2)'!E933-'зведена (БАЛАНС) (2)'!F933,0)</f>
        <v>0</v>
      </c>
      <c r="F933" s="5">
        <f>IF('зведена (БАЛАНС) (2)'!F933&gt;'зведена (БАЛАНС) (2)'!E933,'зведена (БАЛАНС) (2)'!F933-'зведена (БАЛАНС) (2)'!E933,0)</f>
        <v>7257.8</v>
      </c>
    </row>
    <row r="934" spans="1:6" x14ac:dyDescent="0.25">
      <c r="A934" s="38">
        <v>15</v>
      </c>
      <c r="B934" s="34" t="s">
        <v>984</v>
      </c>
      <c r="C934" s="18" t="s">
        <v>595</v>
      </c>
      <c r="D934" s="32" t="s">
        <v>2123</v>
      </c>
      <c r="E934" s="5">
        <f>IF('зведена (БАЛАНС) (2)'!E934&gt;'зведена (БАЛАНС) (2)'!F934,'зведена (БАЛАНС) (2)'!E934-'зведена (БАЛАНС) (2)'!F934,0)</f>
        <v>0</v>
      </c>
      <c r="F934" s="5">
        <f>IF('зведена (БАЛАНС) (2)'!F934&gt;'зведена (БАЛАНС) (2)'!E934,'зведена (БАЛАНС) (2)'!F934-'зведена (БАЛАНС) (2)'!E934,0)</f>
        <v>11860.4</v>
      </c>
    </row>
    <row r="935" spans="1:6" x14ac:dyDescent="0.25">
      <c r="A935" s="38">
        <v>15</v>
      </c>
      <c r="B935" s="34" t="s">
        <v>985</v>
      </c>
      <c r="C935" s="18" t="s">
        <v>596</v>
      </c>
      <c r="D935" s="32" t="s">
        <v>2124</v>
      </c>
      <c r="E935" s="5">
        <f>IF('зведена (БАЛАНС) (2)'!E935&gt;'зведена (БАЛАНС) (2)'!F935,'зведена (БАЛАНС) (2)'!E935-'зведена (БАЛАНС) (2)'!F935,0)</f>
        <v>0</v>
      </c>
      <c r="F935" s="5">
        <f>IF('зведена (БАЛАНС) (2)'!F935&gt;'зведена (БАЛАНС) (2)'!E935,'зведена (БАЛАНС) (2)'!F935-'зведена (БАЛАНС) (2)'!E935,0)</f>
        <v>6847.7</v>
      </c>
    </row>
    <row r="936" spans="1:6" x14ac:dyDescent="0.25">
      <c r="A936" s="38">
        <v>15</v>
      </c>
      <c r="B936" s="34" t="s">
        <v>984</v>
      </c>
      <c r="C936" s="18" t="s">
        <v>597</v>
      </c>
      <c r="D936" s="32" t="s">
        <v>2125</v>
      </c>
      <c r="E936" s="5">
        <f>IF('зведена (БАЛАНС) (2)'!E936&gt;'зведена (БАЛАНС) (2)'!F936,'зведена (БАЛАНС) (2)'!E936-'зведена (БАЛАНС) (2)'!F936,0)</f>
        <v>0</v>
      </c>
      <c r="F936" s="5">
        <f>IF('зведена (БАЛАНС) (2)'!F936&gt;'зведена (БАЛАНС) (2)'!E936,'зведена (БАЛАНС) (2)'!F936-'зведена (БАЛАНС) (2)'!E936,0)</f>
        <v>13961</v>
      </c>
    </row>
    <row r="937" spans="1:6" x14ac:dyDescent="0.25">
      <c r="A937" s="38">
        <v>15</v>
      </c>
      <c r="B937" s="34" t="s">
        <v>984</v>
      </c>
      <c r="C937" s="18" t="s">
        <v>706</v>
      </c>
      <c r="D937" s="32" t="s">
        <v>2126</v>
      </c>
      <c r="E937" s="5">
        <f>IF('зведена (БАЛАНС) (2)'!E937&gt;'зведена (БАЛАНС) (2)'!F937,'зведена (БАЛАНС) (2)'!E937-'зведена (БАЛАНС) (2)'!F937,0)</f>
        <v>0</v>
      </c>
      <c r="F937" s="5">
        <f>IF('зведена (БАЛАНС) (2)'!F937&gt;'зведена (БАЛАНС) (2)'!E937,'зведена (БАЛАНС) (2)'!F937-'зведена (БАЛАНС) (2)'!E937,0)</f>
        <v>23726.5</v>
      </c>
    </row>
    <row r="938" spans="1:6" x14ac:dyDescent="0.25">
      <c r="A938" s="38">
        <v>15</v>
      </c>
      <c r="B938" s="34" t="s">
        <v>985</v>
      </c>
      <c r="C938" s="18" t="s">
        <v>707</v>
      </c>
      <c r="D938" s="32" t="s">
        <v>2127</v>
      </c>
      <c r="E938" s="5">
        <f>IF('зведена (БАЛАНС) (2)'!E938&gt;'зведена (БАЛАНС) (2)'!F938,'зведена (БАЛАНС) (2)'!E938-'зведена (БАЛАНС) (2)'!F938,0)</f>
        <v>1568.5</v>
      </c>
      <c r="F938" s="5">
        <f>IF('зведена (БАЛАНС) (2)'!F938&gt;'зведена (БАЛАНС) (2)'!E938,'зведена (БАЛАНС) (2)'!F938-'зведена (БАЛАНС) (2)'!E938,0)</f>
        <v>0</v>
      </c>
    </row>
    <row r="939" spans="1:6" x14ac:dyDescent="0.25">
      <c r="A939" s="38">
        <v>15</v>
      </c>
      <c r="B939" s="34" t="s">
        <v>983</v>
      </c>
      <c r="C939" s="18">
        <v>15526000000</v>
      </c>
      <c r="D939" s="32" t="s">
        <v>2128</v>
      </c>
      <c r="E939" s="5">
        <f>IF('зведена (БАЛАНС) (2)'!E939&gt;'зведена (БАЛАНС) (2)'!F939,'зведена (БАЛАНС) (2)'!E939-'зведена (БАЛАНС) (2)'!F939,0)</f>
        <v>0</v>
      </c>
      <c r="F939" s="5">
        <f>IF('зведена (БАЛАНС) (2)'!F939&gt;'зведена (БАЛАНС) (2)'!E939,'зведена (БАЛАНС) (2)'!F939-'зведена (БАЛАНС) (2)'!E939,0)</f>
        <v>37073.9</v>
      </c>
    </row>
    <row r="940" spans="1:6" x14ac:dyDescent="0.25">
      <c r="A940" s="38">
        <v>15</v>
      </c>
      <c r="B940" s="34" t="s">
        <v>985</v>
      </c>
      <c r="C940" s="18">
        <v>15527000000</v>
      </c>
      <c r="D940" s="32" t="s">
        <v>3054</v>
      </c>
      <c r="E940" s="5">
        <f>IF('зведена (БАЛАНС) (2)'!E940&gt;'зведена (БАЛАНС) (2)'!F940,'зведена (БАЛАНС) (2)'!E940-'зведена (БАЛАНС) (2)'!F940,0)</f>
        <v>0</v>
      </c>
      <c r="F940" s="5">
        <f>IF('зведена (БАЛАНС) (2)'!F940&gt;'зведена (БАЛАНС) (2)'!E940,'зведена (БАЛАНС) (2)'!F940-'зведена (БАЛАНС) (2)'!E940,0)</f>
        <v>17807.3</v>
      </c>
    </row>
    <row r="941" spans="1:6" x14ac:dyDescent="0.25">
      <c r="A941" s="38">
        <v>15</v>
      </c>
      <c r="B941" s="34" t="s">
        <v>985</v>
      </c>
      <c r="C941" s="18">
        <v>15528000000</v>
      </c>
      <c r="D941" s="32" t="s">
        <v>2130</v>
      </c>
      <c r="E941" s="5">
        <f>IF('зведена (БАЛАНС) (2)'!E941&gt;'зведена (БАЛАНС) (2)'!F941,'зведена (БАЛАНС) (2)'!E941-'зведена (БАЛАНС) (2)'!F941,0)</f>
        <v>0</v>
      </c>
      <c r="F941" s="5">
        <f>IF('зведена (БАЛАНС) (2)'!F941&gt;'зведена (БАЛАНС) (2)'!E941,'зведена (БАЛАНС) (2)'!F941-'зведена (БАЛАНС) (2)'!E941,0)</f>
        <v>15774.5</v>
      </c>
    </row>
    <row r="942" spans="1:6" x14ac:dyDescent="0.25">
      <c r="A942" s="38">
        <v>15</v>
      </c>
      <c r="B942" s="34" t="s">
        <v>984</v>
      </c>
      <c r="C942" s="18">
        <v>15529000000</v>
      </c>
      <c r="D942" s="32" t="s">
        <v>3055</v>
      </c>
      <c r="E942" s="5">
        <f>IF('зведена (БАЛАНС) (2)'!E942&gt;'зведена (БАЛАНС) (2)'!F942,'зведена (БАЛАНС) (2)'!E942-'зведена (БАЛАНС) (2)'!F942,0)</f>
        <v>86546.7</v>
      </c>
      <c r="F942" s="5">
        <f>IF('зведена (БАЛАНС) (2)'!F942&gt;'зведена (БАЛАНС) (2)'!E942,'зведена (БАЛАНС) (2)'!F942-'зведена (БАЛАНС) (2)'!E942,0)</f>
        <v>0</v>
      </c>
    </row>
    <row r="943" spans="1:6" x14ac:dyDescent="0.25">
      <c r="A943" s="38">
        <v>15</v>
      </c>
      <c r="B943" s="34" t="s">
        <v>984</v>
      </c>
      <c r="C943" s="18">
        <v>15530000000</v>
      </c>
      <c r="D943" s="32" t="s">
        <v>3056</v>
      </c>
      <c r="E943" s="5">
        <f>IF('зведена (БАЛАНС) (2)'!E943&gt;'зведена (БАЛАНС) (2)'!F943,'зведена (БАЛАНС) (2)'!E943-'зведена (БАЛАНС) (2)'!F943,0)</f>
        <v>0</v>
      </c>
      <c r="F943" s="5">
        <f>IF('зведена (БАЛАНС) (2)'!F943&gt;'зведена (БАЛАНС) (2)'!E943,'зведена (БАЛАНС) (2)'!F943-'зведена (БАЛАНС) (2)'!E943,0)</f>
        <v>9069.6</v>
      </c>
    </row>
    <row r="944" spans="1:6" x14ac:dyDescent="0.25">
      <c r="A944" s="38">
        <v>15</v>
      </c>
      <c r="B944" s="34" t="s">
        <v>984</v>
      </c>
      <c r="C944" s="18">
        <v>15531000000</v>
      </c>
      <c r="D944" s="32" t="s">
        <v>3057</v>
      </c>
      <c r="E944" s="5">
        <f>IF('зведена (БАЛАНС) (2)'!E944&gt;'зведена (БАЛАНС) (2)'!F944,'зведена (БАЛАНС) (2)'!E944-'зведена (БАЛАНС) (2)'!F944,0)</f>
        <v>0</v>
      </c>
      <c r="F944" s="5">
        <f>IF('зведена (БАЛАНС) (2)'!F944&gt;'зведена (БАЛАНС) (2)'!E944,'зведена (БАЛАНС) (2)'!F944-'зведена (БАЛАНС) (2)'!E944,0)</f>
        <v>2684.1</v>
      </c>
    </row>
    <row r="945" spans="1:6" x14ac:dyDescent="0.25">
      <c r="A945" s="38">
        <v>15</v>
      </c>
      <c r="B945" s="34" t="s">
        <v>985</v>
      </c>
      <c r="C945" s="18">
        <v>15532000000</v>
      </c>
      <c r="D945" s="32" t="s">
        <v>3058</v>
      </c>
      <c r="E945" s="5">
        <f>IF('зведена (БАЛАНС) (2)'!E945&gt;'зведена (БАЛАНС) (2)'!F945,'зведена (БАЛАНС) (2)'!E945-'зведена (БАЛАНС) (2)'!F945,0)</f>
        <v>0</v>
      </c>
      <c r="F945" s="5">
        <f>IF('зведена (БАЛАНС) (2)'!F945&gt;'зведена (БАЛАНС) (2)'!E945,'зведена (БАЛАНС) (2)'!F945-'зведена (БАЛАНС) (2)'!E945,0)</f>
        <v>9903.2000000000007</v>
      </c>
    </row>
    <row r="946" spans="1:6" x14ac:dyDescent="0.25">
      <c r="A946" s="38">
        <v>15</v>
      </c>
      <c r="B946" s="34" t="s">
        <v>984</v>
      </c>
      <c r="C946" s="18">
        <v>15533000000</v>
      </c>
      <c r="D946" s="32" t="s">
        <v>3059</v>
      </c>
      <c r="E946" s="5">
        <f>IF('зведена (БАЛАНС) (2)'!E946&gt;'зведена (БАЛАНС) (2)'!F946,'зведена (БАЛАНС) (2)'!E946-'зведена (БАЛАНС) (2)'!F946,0)</f>
        <v>0</v>
      </c>
      <c r="F946" s="5">
        <f>IF('зведена (БАЛАНС) (2)'!F946&gt;'зведена (БАЛАНС) (2)'!E946,'зведена (БАЛАНС) (2)'!F946-'зведена (БАЛАНС) (2)'!E946,0)</f>
        <v>6677.3</v>
      </c>
    </row>
    <row r="947" spans="1:6" x14ac:dyDescent="0.25">
      <c r="A947" s="38">
        <v>15</v>
      </c>
      <c r="B947" s="34" t="s">
        <v>985</v>
      </c>
      <c r="C947" s="18">
        <v>15534000000</v>
      </c>
      <c r="D947" s="32" t="s">
        <v>2484</v>
      </c>
      <c r="E947" s="5">
        <f>IF('зведена (БАЛАНС) (2)'!E947&gt;'зведена (БАЛАНС) (2)'!F947,'зведена (БАЛАНС) (2)'!E947-'зведена (БАЛАНС) (2)'!F947,0)</f>
        <v>0</v>
      </c>
      <c r="F947" s="5">
        <f>IF('зведена (БАЛАНС) (2)'!F947&gt;'зведена (БАЛАНС) (2)'!E947,'зведена (БАЛАНС) (2)'!F947-'зведена (БАЛАНС) (2)'!E947,0)</f>
        <v>3713.3</v>
      </c>
    </row>
    <row r="948" spans="1:6" x14ac:dyDescent="0.25">
      <c r="A948" s="38">
        <v>15</v>
      </c>
      <c r="B948" s="34" t="s">
        <v>984</v>
      </c>
      <c r="C948" s="18">
        <v>15535000000</v>
      </c>
      <c r="D948" s="32" t="s">
        <v>3060</v>
      </c>
      <c r="E948" s="5">
        <f>IF('зведена (БАЛАНС) (2)'!E948&gt;'зведена (БАЛАНС) (2)'!F948,'зведена (БАЛАНС) (2)'!E948-'зведена (БАЛАНС) (2)'!F948,0)</f>
        <v>0</v>
      </c>
      <c r="F948" s="5">
        <f>IF('зведена (БАЛАНС) (2)'!F948&gt;'зведена (БАЛАНС) (2)'!E948,'зведена (БАЛАНС) (2)'!F948-'зведена (БАЛАНС) (2)'!E948,0)</f>
        <v>7556.5</v>
      </c>
    </row>
    <row r="949" spans="1:6" x14ac:dyDescent="0.25">
      <c r="A949" s="38">
        <v>15</v>
      </c>
      <c r="B949" s="34" t="s">
        <v>984</v>
      </c>
      <c r="C949" s="18">
        <v>15536000000</v>
      </c>
      <c r="D949" s="32" t="s">
        <v>3061</v>
      </c>
      <c r="E949" s="5">
        <f>IF('зведена (БАЛАНС) (2)'!E949&gt;'зведена (БАЛАНС) (2)'!F949,'зведена (БАЛАНС) (2)'!E949-'зведена (БАЛАНС) (2)'!F949,0)</f>
        <v>0</v>
      </c>
      <c r="F949" s="5">
        <f>IF('зведена (БАЛАНС) (2)'!F949&gt;'зведена (БАЛАНС) (2)'!E949,'зведена (БАЛАНС) (2)'!F949-'зведена (БАЛАНС) (2)'!E949,0)</f>
        <v>6512.8</v>
      </c>
    </row>
    <row r="950" spans="1:6" x14ac:dyDescent="0.25">
      <c r="A950" s="38">
        <v>15</v>
      </c>
      <c r="B950" s="34" t="s">
        <v>984</v>
      </c>
      <c r="C950" s="18">
        <v>15537000000</v>
      </c>
      <c r="D950" s="32" t="s">
        <v>3062</v>
      </c>
      <c r="E950" s="5">
        <f>IF('зведена (БАЛАНС) (2)'!E950&gt;'зведена (БАЛАНС) (2)'!F950,'зведена (БАЛАНС) (2)'!E950-'зведена (БАЛАНС) (2)'!F950,0)</f>
        <v>0</v>
      </c>
      <c r="F950" s="5">
        <f>IF('зведена (БАЛАНС) (2)'!F950&gt;'зведена (БАЛАНС) (2)'!E950,'зведена (БАЛАНС) (2)'!F950-'зведена (БАЛАНС) (2)'!E950,0)</f>
        <v>2450.3000000000002</v>
      </c>
    </row>
    <row r="951" spans="1:6" x14ac:dyDescent="0.25">
      <c r="A951" s="38">
        <v>15</v>
      </c>
      <c r="B951" s="34" t="s">
        <v>983</v>
      </c>
      <c r="C951" s="18">
        <v>15538000000</v>
      </c>
      <c r="D951" s="32" t="s">
        <v>2140</v>
      </c>
      <c r="E951" s="5">
        <f>IF('зведена (БАЛАНС) (2)'!E951&gt;'зведена (БАЛАНС) (2)'!F951,'зведена (БАЛАНС) (2)'!E951-'зведена (БАЛАНС) (2)'!F951,0)</f>
        <v>0</v>
      </c>
      <c r="F951" s="5">
        <f>IF('зведена (БАЛАНС) (2)'!F951&gt;'зведена (БАЛАНС) (2)'!E951,'зведена (БАЛАНС) (2)'!F951-'зведена (БАЛАНС) (2)'!E951,0)</f>
        <v>16821.900000000001</v>
      </c>
    </row>
    <row r="952" spans="1:6" x14ac:dyDescent="0.25">
      <c r="A952" s="38">
        <v>15</v>
      </c>
      <c r="B952" s="34" t="s">
        <v>983</v>
      </c>
      <c r="C952" s="18">
        <v>15539000000</v>
      </c>
      <c r="D952" s="32" t="s">
        <v>2141</v>
      </c>
      <c r="E952" s="5">
        <f>IF('зведена (БАЛАНС) (2)'!E952&gt;'зведена (БАЛАНС) (2)'!F952,'зведена (БАЛАНС) (2)'!E952-'зведена (БАЛАНС) (2)'!F952,0)</f>
        <v>0</v>
      </c>
      <c r="F952" s="5">
        <f>IF('зведена (БАЛАНС) (2)'!F952&gt;'зведена (БАЛАНС) (2)'!E952,'зведена (БАЛАНС) (2)'!F952-'зведена (БАЛАНС) (2)'!E952,0)</f>
        <v>31406.1</v>
      </c>
    </row>
    <row r="953" spans="1:6" x14ac:dyDescent="0.25">
      <c r="A953" s="38">
        <v>15</v>
      </c>
      <c r="B953" s="34" t="s">
        <v>986</v>
      </c>
      <c r="C953" s="18">
        <v>15540000000</v>
      </c>
      <c r="D953" s="32" t="s">
        <v>2142</v>
      </c>
      <c r="E953" s="5">
        <f>IF('зведена (БАЛАНС) (2)'!E953&gt;'зведена (БАЛАНС) (2)'!F953,'зведена (БАЛАНС) (2)'!E953-'зведена (БАЛАНС) (2)'!F953,0)</f>
        <v>0</v>
      </c>
      <c r="F953" s="5">
        <f>IF('зведена (БАЛАНС) (2)'!F953&gt;'зведена (БАЛАНС) (2)'!E953,'зведена (БАЛАНС) (2)'!F953-'зведена (БАЛАНС) (2)'!E953,0)</f>
        <v>3628</v>
      </c>
    </row>
    <row r="954" spans="1:6" x14ac:dyDescent="0.25">
      <c r="A954" s="38">
        <v>15</v>
      </c>
      <c r="B954" s="34" t="s">
        <v>983</v>
      </c>
      <c r="C954" s="18">
        <v>15541000000</v>
      </c>
      <c r="D954" s="32" t="s">
        <v>2143</v>
      </c>
      <c r="E954" s="5">
        <f>IF('зведена (БАЛАНС) (2)'!E954&gt;'зведена (БАЛАНС) (2)'!F954,'зведена (БАЛАНС) (2)'!E954-'зведена (БАЛАНС) (2)'!F954,0)</f>
        <v>0</v>
      </c>
      <c r="F954" s="5">
        <f>IF('зведена (БАЛАНС) (2)'!F954&gt;'зведена (БАЛАНС) (2)'!E954,'зведена (БАЛАНС) (2)'!F954-'зведена (БАЛАНС) (2)'!E954,0)</f>
        <v>18986.5</v>
      </c>
    </row>
    <row r="955" spans="1:6" x14ac:dyDescent="0.25">
      <c r="A955" s="38">
        <v>15</v>
      </c>
      <c r="B955" s="34" t="s">
        <v>985</v>
      </c>
      <c r="C955" s="18">
        <v>15542000000</v>
      </c>
      <c r="D955" s="32" t="s">
        <v>2144</v>
      </c>
      <c r="E955" s="5">
        <f>IF('зведена (БАЛАНС) (2)'!E955&gt;'зведена (БАЛАНС) (2)'!F955,'зведена (БАЛАНС) (2)'!E955-'зведена (БАЛАНС) (2)'!F955,0)</f>
        <v>0</v>
      </c>
      <c r="F955" s="5">
        <f>IF('зведена (БАЛАНС) (2)'!F955&gt;'зведена (БАЛАНС) (2)'!E955,'зведена (БАЛАНС) (2)'!F955-'зведена (БАЛАНС) (2)'!E955,0)</f>
        <v>27371.3</v>
      </c>
    </row>
    <row r="956" spans="1:6" x14ac:dyDescent="0.25">
      <c r="A956" s="38">
        <v>15</v>
      </c>
      <c r="B956" s="34" t="s">
        <v>984</v>
      </c>
      <c r="C956" s="18">
        <v>15543000000</v>
      </c>
      <c r="D956" s="32" t="s">
        <v>2145</v>
      </c>
      <c r="E956" s="5">
        <f>IF('зведена (БАЛАНС) (2)'!E956&gt;'зведена (БАЛАНС) (2)'!F956,'зведена (БАЛАНС) (2)'!E956-'зведена (БАЛАНС) (2)'!F956,0)</f>
        <v>0</v>
      </c>
      <c r="F956" s="5">
        <f>IF('зведена (БАЛАНС) (2)'!F956&gt;'зведена (БАЛАНС) (2)'!E956,'зведена (БАЛАНС) (2)'!F956-'зведена (БАЛАНС) (2)'!E956,0)</f>
        <v>19965.2</v>
      </c>
    </row>
    <row r="957" spans="1:6" x14ac:dyDescent="0.25">
      <c r="A957" s="38">
        <v>15</v>
      </c>
      <c r="B957" s="34" t="s">
        <v>984</v>
      </c>
      <c r="C957" s="18">
        <v>15544000000</v>
      </c>
      <c r="D957" s="32" t="s">
        <v>2146</v>
      </c>
      <c r="E957" s="5">
        <f>IF('зведена (БАЛАНС) (2)'!E957&gt;'зведена (БАЛАНС) (2)'!F957,'зведена (БАЛАНС) (2)'!E957-'зведена (БАЛАНС) (2)'!F957,0)</f>
        <v>0</v>
      </c>
      <c r="F957" s="5">
        <f>IF('зведена (БАЛАНС) (2)'!F957&gt;'зведена (БАЛАНС) (2)'!E957,'зведена (БАЛАНС) (2)'!F957-'зведена (БАЛАНС) (2)'!E957,0)</f>
        <v>17315</v>
      </c>
    </row>
    <row r="958" spans="1:6" x14ac:dyDescent="0.25">
      <c r="A958" s="38">
        <v>15</v>
      </c>
      <c r="B958" s="34" t="s">
        <v>985</v>
      </c>
      <c r="C958" s="18">
        <v>15545000000</v>
      </c>
      <c r="D958" s="32" t="s">
        <v>2147</v>
      </c>
      <c r="E958" s="5">
        <f>IF('зведена (БАЛАНС) (2)'!E958&gt;'зведена (БАЛАНС) (2)'!F958,'зведена (БАЛАНС) (2)'!E958-'зведена (БАЛАНС) (2)'!F958,0)</f>
        <v>0</v>
      </c>
      <c r="F958" s="5">
        <f>IF('зведена (БАЛАНС) (2)'!F958&gt;'зведена (БАЛАНС) (2)'!E958,'зведена (БАЛАНС) (2)'!F958-'зведена (БАЛАНС) (2)'!E958,0)</f>
        <v>9206.1</v>
      </c>
    </row>
    <row r="959" spans="1:6" s="28" customFormat="1" x14ac:dyDescent="0.25">
      <c r="A959" s="38">
        <v>15</v>
      </c>
      <c r="B959" s="34" t="s">
        <v>984</v>
      </c>
      <c r="C959" s="18">
        <v>15546000000</v>
      </c>
      <c r="D959" s="32" t="s">
        <v>2148</v>
      </c>
      <c r="E959" s="5">
        <f>IF('зведена (БАЛАНС) (2)'!E959&gt;'зведена (БАЛАНС) (2)'!F959,'зведена (БАЛАНС) (2)'!E959-'зведена (БАЛАНС) (2)'!F959,0)</f>
        <v>0</v>
      </c>
      <c r="F959" s="5">
        <f>IF('зведена (БАЛАНС) (2)'!F959&gt;'зведена (БАЛАНС) (2)'!E959,'зведена (БАЛАНС) (2)'!F959-'зведена (БАЛАНС) (2)'!E959,0)</f>
        <v>19127.900000000001</v>
      </c>
    </row>
    <row r="960" spans="1:6" s="28" customFormat="1" x14ac:dyDescent="0.25">
      <c r="A960" s="38">
        <v>15</v>
      </c>
      <c r="B960" s="34" t="s">
        <v>984</v>
      </c>
      <c r="C960" s="18">
        <v>15547000000</v>
      </c>
      <c r="D960" s="32" t="s">
        <v>2149</v>
      </c>
      <c r="E960" s="5">
        <f>IF('зведена (БАЛАНС) (2)'!E960&gt;'зведена (БАЛАНС) (2)'!F960,'зведена (БАЛАНС) (2)'!E960-'зведена (БАЛАНС) (2)'!F960,0)</f>
        <v>0</v>
      </c>
      <c r="F960" s="5">
        <f>IF('зведена (БАЛАНС) (2)'!F960&gt;'зведена (БАЛАНС) (2)'!E960,'зведена (БАЛАНС) (2)'!F960-'зведена (БАЛАНС) (2)'!E960,0)</f>
        <v>29096.799999999999</v>
      </c>
    </row>
    <row r="961" spans="1:6" s="28" customFormat="1" x14ac:dyDescent="0.25">
      <c r="A961" s="38">
        <v>15</v>
      </c>
      <c r="B961" s="34" t="s">
        <v>984</v>
      </c>
      <c r="C961" s="18">
        <v>15548000000</v>
      </c>
      <c r="D961" s="32" t="s">
        <v>2150</v>
      </c>
      <c r="E961" s="5">
        <f>IF('зведена (БАЛАНС) (2)'!E961&gt;'зведена (БАЛАНС) (2)'!F961,'зведена (БАЛАНС) (2)'!E961-'зведена (БАЛАНС) (2)'!F961,0)</f>
        <v>7498.5</v>
      </c>
      <c r="F961" s="5">
        <f>IF('зведена (БАЛАНС) (2)'!F961&gt;'зведена (БАЛАНС) (2)'!E961,'зведена (БАЛАНС) (2)'!F961-'зведена (БАЛАНС) (2)'!E961,0)</f>
        <v>0</v>
      </c>
    </row>
    <row r="962" spans="1:6" s="28" customFormat="1" x14ac:dyDescent="0.25">
      <c r="A962" s="38">
        <v>15</v>
      </c>
      <c r="B962" s="34" t="s">
        <v>984</v>
      </c>
      <c r="C962" s="18">
        <v>15549000000</v>
      </c>
      <c r="D962" s="32" t="s">
        <v>2151</v>
      </c>
      <c r="E962" s="5">
        <f>IF('зведена (БАЛАНС) (2)'!E962&gt;'зведена (БАЛАНС) (2)'!F962,'зведена (БАЛАНС) (2)'!E962-'зведена (БАЛАНС) (2)'!F962,0)</f>
        <v>0</v>
      </c>
      <c r="F962" s="5">
        <f>IF('зведена (БАЛАНС) (2)'!F962&gt;'зведена (БАЛАНС) (2)'!E962,'зведена (БАЛАНС) (2)'!F962-'зведена (БАЛАНС) (2)'!E962,0)</f>
        <v>10232.299999999999</v>
      </c>
    </row>
    <row r="963" spans="1:6" s="28" customFormat="1" x14ac:dyDescent="0.25">
      <c r="A963" s="38">
        <v>15</v>
      </c>
      <c r="B963" s="34" t="s">
        <v>985</v>
      </c>
      <c r="C963" s="18">
        <v>15550000000</v>
      </c>
      <c r="D963" s="32" t="s">
        <v>2152</v>
      </c>
      <c r="E963" s="5">
        <f>IF('зведена (БАЛАНС) (2)'!E963&gt;'зведена (БАЛАНС) (2)'!F963,'зведена (БАЛАНС) (2)'!E963-'зведена (БАЛАНС) (2)'!F963,0)</f>
        <v>0</v>
      </c>
      <c r="F963" s="5">
        <f>IF('зведена (БАЛАНС) (2)'!F963&gt;'зведена (БАЛАНС) (2)'!E963,'зведена (БАЛАНС) (2)'!F963-'зведена (БАЛАНС) (2)'!E963,0)</f>
        <v>518.5</v>
      </c>
    </row>
    <row r="964" spans="1:6" s="28" customFormat="1" x14ac:dyDescent="0.25">
      <c r="A964" s="38">
        <v>15</v>
      </c>
      <c r="B964" s="34" t="s">
        <v>984</v>
      </c>
      <c r="C964" s="18">
        <v>15551000000</v>
      </c>
      <c r="D964" s="32" t="s">
        <v>1605</v>
      </c>
      <c r="E964" s="5">
        <f>IF('зведена (БАЛАНС) (2)'!E964&gt;'зведена (БАЛАНС) (2)'!F964,'зведена (БАЛАНС) (2)'!E964-'зведена (БАЛАНС) (2)'!F964,0)</f>
        <v>0</v>
      </c>
      <c r="F964" s="5">
        <f>IF('зведена (БАЛАНС) (2)'!F964&gt;'зведена (БАЛАНС) (2)'!E964,'зведена (БАЛАНС) (2)'!F964-'зведена (БАЛАНС) (2)'!E964,0)</f>
        <v>6060.4</v>
      </c>
    </row>
    <row r="965" spans="1:6" s="28" customFormat="1" x14ac:dyDescent="0.25">
      <c r="A965" s="38">
        <v>15</v>
      </c>
      <c r="B965" s="34" t="s">
        <v>985</v>
      </c>
      <c r="C965" s="18">
        <v>15552000000</v>
      </c>
      <c r="D965" s="32" t="s">
        <v>2153</v>
      </c>
      <c r="E965" s="5">
        <f>IF('зведена (БАЛАНС) (2)'!E965&gt;'зведена (БАЛАНС) (2)'!F965,'зведена (БАЛАНС) (2)'!E965-'зведена (БАЛАНС) (2)'!F965,0)</f>
        <v>0</v>
      </c>
      <c r="F965" s="5">
        <f>IF('зведена (БАЛАНС) (2)'!F965&gt;'зведена (БАЛАНС) (2)'!E965,'зведена (БАЛАНС) (2)'!F965-'зведена (БАЛАНС) (2)'!E965,0)</f>
        <v>16094.5</v>
      </c>
    </row>
    <row r="966" spans="1:6" s="28" customFormat="1" x14ac:dyDescent="0.25">
      <c r="A966" s="38">
        <v>15</v>
      </c>
      <c r="B966" s="34" t="s">
        <v>986</v>
      </c>
      <c r="C966" s="18">
        <v>15553000000</v>
      </c>
      <c r="D966" s="32" t="s">
        <v>2154</v>
      </c>
      <c r="E966" s="5">
        <f>IF('зведена (БАЛАНС) (2)'!E966&gt;'зведена (БАЛАНС) (2)'!F966,'зведена (БАЛАНС) (2)'!E966-'зведена (БАЛАНС) (2)'!F966,0)</f>
        <v>0</v>
      </c>
      <c r="F966" s="5">
        <f>IF('зведена (БАЛАНС) (2)'!F966&gt;'зведена (БАЛАНС) (2)'!E966,'зведена (БАЛАНС) (2)'!F966-'зведена (БАЛАНС) (2)'!E966,0)</f>
        <v>0</v>
      </c>
    </row>
    <row r="967" spans="1:6" s="28" customFormat="1" x14ac:dyDescent="0.25">
      <c r="A967" s="38">
        <v>15</v>
      </c>
      <c r="B967" s="34" t="s">
        <v>984</v>
      </c>
      <c r="C967" s="18">
        <v>15554000000</v>
      </c>
      <c r="D967" s="32" t="s">
        <v>2155</v>
      </c>
      <c r="E967" s="5">
        <f>IF('зведена (БАЛАНС) (2)'!E967&gt;'зведена (БАЛАНС) (2)'!F967,'зведена (БАЛАНС) (2)'!E967-'зведена (БАЛАНС) (2)'!F967,0)</f>
        <v>0</v>
      </c>
      <c r="F967" s="5">
        <f>IF('зведена (БАЛАНС) (2)'!F967&gt;'зведена (БАЛАНС) (2)'!E967,'зведена (БАЛАНС) (2)'!F967-'зведена (БАЛАНС) (2)'!E967,0)</f>
        <v>724.6</v>
      </c>
    </row>
    <row r="968" spans="1:6" s="28" customFormat="1" x14ac:dyDescent="0.25">
      <c r="A968" s="38">
        <v>15</v>
      </c>
      <c r="B968" s="34" t="s">
        <v>983</v>
      </c>
      <c r="C968" s="18">
        <v>15555000000</v>
      </c>
      <c r="D968" s="32" t="s">
        <v>2156</v>
      </c>
      <c r="E968" s="5">
        <f>IF('зведена (БАЛАНС) (2)'!E968&gt;'зведена (БАЛАНС) (2)'!F968,'зведена (БАЛАНС) (2)'!E968-'зведена (БАЛАНС) (2)'!F968,0)</f>
        <v>0</v>
      </c>
      <c r="F968" s="5">
        <f>IF('зведена (БАЛАНС) (2)'!F968&gt;'зведена (БАЛАНС) (2)'!E968,'зведена (БАЛАНС) (2)'!F968-'зведена (БАЛАНС) (2)'!E968,0)</f>
        <v>18481.900000000001</v>
      </c>
    </row>
    <row r="969" spans="1:6" s="28" customFormat="1" x14ac:dyDescent="0.25">
      <c r="A969" s="38">
        <v>15</v>
      </c>
      <c r="B969" s="34" t="s">
        <v>984</v>
      </c>
      <c r="C969" s="18">
        <v>15556000000</v>
      </c>
      <c r="D969" s="32" t="s">
        <v>2157</v>
      </c>
      <c r="E969" s="5">
        <f>IF('зведена (БАЛАНС) (2)'!E969&gt;'зведена (БАЛАНС) (2)'!F969,'зведена (БАЛАНС) (2)'!E969-'зведена (БАЛАНС) (2)'!F969,0)</f>
        <v>0</v>
      </c>
      <c r="F969" s="5">
        <f>IF('зведена (БАЛАНС) (2)'!F969&gt;'зведена (БАЛАНС) (2)'!E969,'зведена (БАЛАНС) (2)'!F969-'зведена (БАЛАНС) (2)'!E969,0)</f>
        <v>8238.2999999999993</v>
      </c>
    </row>
    <row r="970" spans="1:6" s="28" customFormat="1" x14ac:dyDescent="0.25">
      <c r="A970" s="38">
        <v>15</v>
      </c>
      <c r="B970" s="34" t="s">
        <v>984</v>
      </c>
      <c r="C970" s="18">
        <v>15557000000</v>
      </c>
      <c r="D970" s="32" t="s">
        <v>2158</v>
      </c>
      <c r="E970" s="5">
        <f>IF('зведена (БАЛАНС) (2)'!E970&gt;'зведена (БАЛАНС) (2)'!F970,'зведена (БАЛАНС) (2)'!E970-'зведена (БАЛАНС) (2)'!F970,0)</f>
        <v>0</v>
      </c>
      <c r="F970" s="5">
        <f>IF('зведена (БАЛАНС) (2)'!F970&gt;'зведена (БАЛАНС) (2)'!E970,'зведена (БАЛАНС) (2)'!F970-'зведена (БАЛАНС) (2)'!E970,0)</f>
        <v>18069.3</v>
      </c>
    </row>
    <row r="971" spans="1:6" s="28" customFormat="1" x14ac:dyDescent="0.25">
      <c r="A971" s="38">
        <v>15</v>
      </c>
      <c r="B971" s="34" t="s">
        <v>984</v>
      </c>
      <c r="C971" s="18">
        <v>15558000000</v>
      </c>
      <c r="D971" s="32" t="s">
        <v>2159</v>
      </c>
      <c r="E971" s="5">
        <f>IF('зведена (БАЛАНС) (2)'!E971&gt;'зведена (БАЛАНС) (2)'!F971,'зведена (БАЛАНС) (2)'!E971-'зведена (БАЛАНС) (2)'!F971,0)</f>
        <v>0</v>
      </c>
      <c r="F971" s="5">
        <f>IF('зведена (БАЛАНС) (2)'!F971&gt;'зведена (БАЛАНС) (2)'!E971,'зведена (БАЛАНС) (2)'!F971-'зведена (БАЛАНС) (2)'!E971,0)</f>
        <v>8965.9</v>
      </c>
    </row>
    <row r="972" spans="1:6" s="28" customFormat="1" x14ac:dyDescent="0.25">
      <c r="A972" s="38">
        <v>15</v>
      </c>
      <c r="B972" s="34" t="s">
        <v>984</v>
      </c>
      <c r="C972" s="18">
        <v>15559000000</v>
      </c>
      <c r="D972" s="32" t="s">
        <v>2160</v>
      </c>
      <c r="E972" s="5">
        <f>IF('зведена (БАЛАНС) (2)'!E972&gt;'зведена (БАЛАНС) (2)'!F972,'зведена (БАЛАНС) (2)'!E972-'зведена (БАЛАНС) (2)'!F972,0)</f>
        <v>0</v>
      </c>
      <c r="F972" s="5">
        <f>IF('зведена (БАЛАНС) (2)'!F972&gt;'зведена (БАЛАНС) (2)'!E972,'зведена (БАЛАНС) (2)'!F972-'зведена (БАЛАНС) (2)'!E972,0)</f>
        <v>13669.6</v>
      </c>
    </row>
    <row r="973" spans="1:6" s="28" customFormat="1" x14ac:dyDescent="0.25">
      <c r="A973" s="38">
        <v>15</v>
      </c>
      <c r="B973" s="34" t="s">
        <v>985</v>
      </c>
      <c r="C973" s="18">
        <v>15560000000</v>
      </c>
      <c r="D973" s="32" t="s">
        <v>2161</v>
      </c>
      <c r="E973" s="5">
        <f>IF('зведена (БАЛАНС) (2)'!E973&gt;'зведена (БАЛАНС) (2)'!F973,'зведена (БАЛАНС) (2)'!E973-'зведена (БАЛАНС) (2)'!F973,0)</f>
        <v>0</v>
      </c>
      <c r="F973" s="5">
        <f>IF('зведена (БАЛАНС) (2)'!F973&gt;'зведена (БАЛАНС) (2)'!E973,'зведена (БАЛАНС) (2)'!F973-'зведена (БАЛАНС) (2)'!E973,0)</f>
        <v>23985.9</v>
      </c>
    </row>
    <row r="974" spans="1:6" s="28" customFormat="1" x14ac:dyDescent="0.25">
      <c r="A974" s="38">
        <v>15</v>
      </c>
      <c r="B974" s="34" t="s">
        <v>985</v>
      </c>
      <c r="C974" s="18">
        <v>15561000000</v>
      </c>
      <c r="D974" s="32" t="s">
        <v>2162</v>
      </c>
      <c r="E974" s="5">
        <f>IF('зведена (БАЛАНС) (2)'!E974&gt;'зведена (БАЛАНС) (2)'!F974,'зведена (БАЛАНС) (2)'!E974-'зведена (БАЛАНС) (2)'!F974,0)</f>
        <v>0</v>
      </c>
      <c r="F974" s="5">
        <f>IF('зведена (БАЛАНС) (2)'!F974&gt;'зведена (БАЛАНС) (2)'!E974,'зведена (БАЛАНС) (2)'!F974-'зведена (БАЛАНС) (2)'!E974,0)</f>
        <v>4549.6000000000004</v>
      </c>
    </row>
    <row r="975" spans="1:6" s="28" customFormat="1" x14ac:dyDescent="0.25">
      <c r="A975" s="38">
        <v>15</v>
      </c>
      <c r="B975" s="34" t="s">
        <v>984</v>
      </c>
      <c r="C975" s="18">
        <v>15562000000</v>
      </c>
      <c r="D975" s="32" t="s">
        <v>2163</v>
      </c>
      <c r="E975" s="5">
        <f>IF('зведена (БАЛАНС) (2)'!E975&gt;'зведена (БАЛАНС) (2)'!F975,'зведена (БАЛАНС) (2)'!E975-'зведена (БАЛАНС) (2)'!F975,0)</f>
        <v>2396.1999999999998</v>
      </c>
      <c r="F975" s="5">
        <f>IF('зведена (БАЛАНС) (2)'!F975&gt;'зведена (БАЛАНС) (2)'!E975,'зведена (БАЛАНС) (2)'!F975-'зведена (БАЛАНС) (2)'!E975,0)</f>
        <v>0</v>
      </c>
    </row>
    <row r="976" spans="1:6" s="28" customFormat="1" x14ac:dyDescent="0.25">
      <c r="A976" s="38">
        <v>15</v>
      </c>
      <c r="B976" s="34" t="s">
        <v>985</v>
      </c>
      <c r="C976" s="18">
        <v>15563000000</v>
      </c>
      <c r="D976" s="32" t="s">
        <v>2808</v>
      </c>
      <c r="E976" s="5">
        <f>IF('зведена (БАЛАНС) (2)'!E976&gt;'зведена (БАЛАНС) (2)'!F976,'зведена (БАЛАНС) (2)'!E976-'зведена (БАЛАНС) (2)'!F976,0)</f>
        <v>0</v>
      </c>
      <c r="F976" s="5">
        <f>IF('зведена (БАЛАНС) (2)'!F976&gt;'зведена (БАЛАНС) (2)'!E976,'зведена (БАЛАНС) (2)'!F976-'зведена (БАЛАНС) (2)'!E976,0)</f>
        <v>0</v>
      </c>
    </row>
    <row r="977" spans="1:6" s="28" customFormat="1" x14ac:dyDescent="0.25">
      <c r="A977" s="38">
        <v>15</v>
      </c>
      <c r="B977" s="34" t="s">
        <v>986</v>
      </c>
      <c r="C977" s="18">
        <v>15564000000</v>
      </c>
      <c r="D977" s="32" t="s">
        <v>2164</v>
      </c>
      <c r="E977" s="5">
        <f>IF('зведена (БАЛАНС) (2)'!E977&gt;'зведена (БАЛАНС) (2)'!F977,'зведена (БАЛАНС) (2)'!E977-'зведена (БАЛАНС) (2)'!F977,0)</f>
        <v>387972.8</v>
      </c>
      <c r="F977" s="5">
        <f>IF('зведена (БАЛАНС) (2)'!F977&gt;'зведена (БАЛАНС) (2)'!E977,'зведена (БАЛАНС) (2)'!F977-'зведена (БАЛАНС) (2)'!E977,0)</f>
        <v>0</v>
      </c>
    </row>
    <row r="978" spans="1:6" s="28" customFormat="1" x14ac:dyDescent="0.25">
      <c r="A978" s="38">
        <v>15</v>
      </c>
      <c r="B978" s="34" t="s">
        <v>984</v>
      </c>
      <c r="C978" s="18">
        <v>15565000000</v>
      </c>
      <c r="D978" s="32" t="s">
        <v>1164</v>
      </c>
      <c r="E978" s="5">
        <f>IF('зведена (БАЛАНС) (2)'!E978&gt;'зведена (БАЛАНС) (2)'!F978,'зведена (БАЛАНС) (2)'!E978-'зведена (БАЛАНС) (2)'!F978,0)</f>
        <v>0</v>
      </c>
      <c r="F978" s="5">
        <f>IF('зведена (БАЛАНС) (2)'!F978&gt;'зведена (БАЛАНС) (2)'!E978,'зведена (БАЛАНС) (2)'!F978-'зведена (БАЛАНС) (2)'!E978,0)</f>
        <v>8353.6</v>
      </c>
    </row>
    <row r="979" spans="1:6" s="28" customFormat="1" x14ac:dyDescent="0.25">
      <c r="A979" s="38">
        <v>15</v>
      </c>
      <c r="B979" s="34" t="s">
        <v>984</v>
      </c>
      <c r="C979" s="18">
        <v>15566000000</v>
      </c>
      <c r="D979" s="32" t="s">
        <v>2165</v>
      </c>
      <c r="E979" s="5">
        <f>IF('зведена (БАЛАНС) (2)'!E979&gt;'зведена (БАЛАНС) (2)'!F979,'зведена (БАЛАНС) (2)'!E979-'зведена (БАЛАНС) (2)'!F979,0)</f>
        <v>0</v>
      </c>
      <c r="F979" s="5">
        <f>IF('зведена (БАЛАНС) (2)'!F979&gt;'зведена (БАЛАНС) (2)'!E979,'зведена (БАЛАНС) (2)'!F979-'зведена (БАЛАНС) (2)'!E979,0)</f>
        <v>13296.2</v>
      </c>
    </row>
    <row r="980" spans="1:6" s="28" customFormat="1" x14ac:dyDescent="0.25">
      <c r="A980" s="38">
        <v>15</v>
      </c>
      <c r="B980" s="34" t="s">
        <v>984</v>
      </c>
      <c r="C980" s="18">
        <v>15567000000</v>
      </c>
      <c r="D980" s="32" t="s">
        <v>1270</v>
      </c>
      <c r="E980" s="5">
        <f>IF('зведена (БАЛАНС) (2)'!E980&gt;'зведена (БАЛАНС) (2)'!F980,'зведена (БАЛАНС) (2)'!E980-'зведена (БАЛАНС) (2)'!F980,0)</f>
        <v>0</v>
      </c>
      <c r="F980" s="5">
        <f>IF('зведена (БАЛАНС) (2)'!F980&gt;'зведена (БАЛАНС) (2)'!E980,'зведена (БАЛАНС) (2)'!F980-'зведена (БАЛАНС) (2)'!E980,0)</f>
        <v>6721</v>
      </c>
    </row>
    <row r="981" spans="1:6" s="28" customFormat="1" x14ac:dyDescent="0.25">
      <c r="A981" s="38">
        <v>15</v>
      </c>
      <c r="B981" s="34" t="s">
        <v>984</v>
      </c>
      <c r="C981" s="18">
        <v>15568000000</v>
      </c>
      <c r="D981" s="32" t="s">
        <v>2166</v>
      </c>
      <c r="E981" s="5">
        <f>IF('зведена (БАЛАНС) (2)'!E981&gt;'зведена (БАЛАНС) (2)'!F981,'зведена (БАЛАНС) (2)'!E981-'зведена (БАЛАНС) (2)'!F981,0)</f>
        <v>0</v>
      </c>
      <c r="F981" s="5">
        <f>IF('зведена (БАЛАНС) (2)'!F981&gt;'зведена (БАЛАНС) (2)'!E981,'зведена (БАЛАНС) (2)'!F981-'зведена (БАЛАНС) (2)'!E981,0)</f>
        <v>13150.3</v>
      </c>
    </row>
    <row r="982" spans="1:6" s="28" customFormat="1" x14ac:dyDescent="0.25">
      <c r="A982" s="38">
        <v>15</v>
      </c>
      <c r="B982" s="34" t="s">
        <v>986</v>
      </c>
      <c r="C982" s="18">
        <v>15569000000</v>
      </c>
      <c r="D982" s="32" t="s">
        <v>2167</v>
      </c>
      <c r="E982" s="5">
        <f>IF('зведена (БАЛАНС) (2)'!E982&gt;'зведена (БАЛАНС) (2)'!F982,'зведена (БАЛАНС) (2)'!E982-'зведена (БАЛАНС) (2)'!F982,0)</f>
        <v>0</v>
      </c>
      <c r="F982" s="5">
        <f>IF('зведена (БАЛАНС) (2)'!F982&gt;'зведена (БАЛАНС) (2)'!E982,'зведена (БАЛАНС) (2)'!F982-'зведена (БАЛАНС) (2)'!E982,0)</f>
        <v>0</v>
      </c>
    </row>
    <row r="983" spans="1:6" s="28" customFormat="1" x14ac:dyDescent="0.25">
      <c r="A983" s="38">
        <v>15</v>
      </c>
      <c r="B983" s="34" t="s">
        <v>985</v>
      </c>
      <c r="C983" s="18">
        <v>15570000000</v>
      </c>
      <c r="D983" s="32" t="s">
        <v>2168</v>
      </c>
      <c r="E983" s="5">
        <f>IF('зведена (БАЛАНС) (2)'!E983&gt;'зведена (БАЛАНС) (2)'!F983,'зведена (БАЛАНС) (2)'!E983-'зведена (БАЛАНС) (2)'!F983,0)</f>
        <v>0</v>
      </c>
      <c r="F983" s="5">
        <f>IF('зведена (БАЛАНС) (2)'!F983&gt;'зведена (БАЛАНС) (2)'!E983,'зведена (БАЛАНС) (2)'!F983-'зведена (БАЛАНС) (2)'!E983,0)</f>
        <v>13406.1</v>
      </c>
    </row>
    <row r="984" spans="1:6" s="28" customFormat="1" x14ac:dyDescent="0.25">
      <c r="A984" s="38">
        <v>15</v>
      </c>
      <c r="B984" s="34" t="s">
        <v>983</v>
      </c>
      <c r="C984" s="18">
        <v>15571000000</v>
      </c>
      <c r="D984" s="32" t="s">
        <v>2169</v>
      </c>
      <c r="E984" s="5">
        <f>IF('зведена (БАЛАНС) (2)'!E984&gt;'зведена (БАЛАНС) (2)'!F984,'зведена (БАЛАНС) (2)'!E984-'зведена (БАЛАНС) (2)'!F984,0)</f>
        <v>0</v>
      </c>
      <c r="F984" s="5">
        <f>IF('зведена (БАЛАНС) (2)'!F984&gt;'зведена (БАЛАНС) (2)'!E984,'зведена (БАЛАНС) (2)'!F984-'зведена (БАЛАНС) (2)'!E984,0)</f>
        <v>41018</v>
      </c>
    </row>
    <row r="985" spans="1:6" s="28" customFormat="1" x14ac:dyDescent="0.25">
      <c r="A985" s="38">
        <v>15</v>
      </c>
      <c r="B985" s="34" t="s">
        <v>983</v>
      </c>
      <c r="C985" s="18">
        <v>15572000000</v>
      </c>
      <c r="D985" s="32" t="s">
        <v>2170</v>
      </c>
      <c r="E985" s="5">
        <f>IF('зведена (БАЛАНС) (2)'!E985&gt;'зведена (БАЛАНС) (2)'!F985,'зведена (БАЛАНС) (2)'!E985-'зведена (БАЛАНС) (2)'!F985,0)</f>
        <v>0</v>
      </c>
      <c r="F985" s="5">
        <f>IF('зведена (БАЛАНС) (2)'!F985&gt;'зведена (БАЛАНС) (2)'!E985,'зведена (БАЛАНС) (2)'!F985-'зведена (БАЛАНС) (2)'!E985,0)</f>
        <v>34483.9</v>
      </c>
    </row>
    <row r="986" spans="1:6" s="28" customFormat="1" x14ac:dyDescent="0.25">
      <c r="A986" s="38">
        <v>15</v>
      </c>
      <c r="B986" s="34" t="s">
        <v>985</v>
      </c>
      <c r="C986" s="18">
        <v>15573000000</v>
      </c>
      <c r="D986" s="32" t="s">
        <v>2171</v>
      </c>
      <c r="E986" s="5">
        <f>IF('зведена (БАЛАНС) (2)'!E986&gt;'зведена (БАЛАНС) (2)'!F986,'зведена (БАЛАНС) (2)'!E986-'зведена (БАЛАНС) (2)'!F986,0)</f>
        <v>0</v>
      </c>
      <c r="F986" s="5">
        <f>IF('зведена (БАЛАНС) (2)'!F986&gt;'зведена (БАЛАНС) (2)'!E986,'зведена (БАЛАНС) (2)'!F986-'зведена (БАЛАНС) (2)'!E986,0)</f>
        <v>19501.900000000001</v>
      </c>
    </row>
    <row r="987" spans="1:6" s="28" customFormat="1" x14ac:dyDescent="0.25">
      <c r="A987" s="38">
        <v>15</v>
      </c>
      <c r="B987" s="34" t="s">
        <v>985</v>
      </c>
      <c r="C987" s="18">
        <v>15574000000</v>
      </c>
      <c r="D987" s="32" t="s">
        <v>2172</v>
      </c>
      <c r="E987" s="5">
        <f>IF('зведена (БАЛАНС) (2)'!E987&gt;'зведена (БАЛАНС) (2)'!F987,'зведена (БАЛАНС) (2)'!E987-'зведена (БАЛАНС) (2)'!F987,0)</f>
        <v>0</v>
      </c>
      <c r="F987" s="5">
        <f>IF('зведена (БАЛАНС) (2)'!F987&gt;'зведена (БАЛАНС) (2)'!E987,'зведена (БАЛАНС) (2)'!F987-'зведена (БАЛАНС) (2)'!E987,0)</f>
        <v>5783.6</v>
      </c>
    </row>
    <row r="988" spans="1:6" s="28" customFormat="1" x14ac:dyDescent="0.25">
      <c r="A988" s="38">
        <v>15</v>
      </c>
      <c r="B988" s="34" t="s">
        <v>984</v>
      </c>
      <c r="C988" s="18">
        <v>15575000000</v>
      </c>
      <c r="D988" s="32" t="s">
        <v>2841</v>
      </c>
      <c r="E988" s="5">
        <f>IF('зведена (БАЛАНС) (2)'!E988&gt;'зведена (БАЛАНС) (2)'!F988,'зведена (БАЛАНС) (2)'!E988-'зведена (БАЛАНС) (2)'!F988,0)</f>
        <v>0</v>
      </c>
      <c r="F988" s="5">
        <f>IF('зведена (БАЛАНС) (2)'!F988&gt;'зведена (БАЛАНС) (2)'!E988,'зведена (БАЛАНС) (2)'!F988-'зведена (БАЛАНС) (2)'!E988,0)</f>
        <v>72253.899999999994</v>
      </c>
    </row>
    <row r="989" spans="1:6" s="28" customFormat="1" x14ac:dyDescent="0.25">
      <c r="A989" s="38">
        <v>15</v>
      </c>
      <c r="B989" s="34" t="s">
        <v>985</v>
      </c>
      <c r="C989" s="18">
        <v>15576000000</v>
      </c>
      <c r="D989" s="32" t="s">
        <v>2173</v>
      </c>
      <c r="E989" s="5">
        <f>IF('зведена (БАЛАНС) (2)'!E989&gt;'зведена (БАЛАНС) (2)'!F989,'зведена (БАЛАНС) (2)'!E989-'зведена (БАЛАНС) (2)'!F989,0)</f>
        <v>0</v>
      </c>
      <c r="F989" s="5">
        <f>IF('зведена (БАЛАНС) (2)'!F989&gt;'зведена (БАЛАНС) (2)'!E989,'зведена (БАЛАНС) (2)'!F989-'зведена (БАЛАНС) (2)'!E989,0)</f>
        <v>11545.7</v>
      </c>
    </row>
    <row r="990" spans="1:6" s="28" customFormat="1" x14ac:dyDescent="0.25">
      <c r="A990" s="38">
        <v>15</v>
      </c>
      <c r="B990" s="34" t="s">
        <v>985</v>
      </c>
      <c r="C990" s="18">
        <v>15577000000</v>
      </c>
      <c r="D990" s="32" t="s">
        <v>2174</v>
      </c>
      <c r="E990" s="5">
        <f>IF('зведена (БАЛАНС) (2)'!E990&gt;'зведена (БАЛАНС) (2)'!F990,'зведена (БАЛАНС) (2)'!E990-'зведена (БАЛАНС) (2)'!F990,0)</f>
        <v>0</v>
      </c>
      <c r="F990" s="5">
        <f>IF('зведена (БАЛАНС) (2)'!F990&gt;'зведена (БАЛАНС) (2)'!E990,'зведена (БАЛАНС) (2)'!F990-'зведена (БАЛАНС) (2)'!E990,0)</f>
        <v>5082.1000000000004</v>
      </c>
    </row>
    <row r="991" spans="1:6" s="28" customFormat="1" x14ac:dyDescent="0.25">
      <c r="A991" s="38">
        <v>15</v>
      </c>
      <c r="B991" s="34" t="s">
        <v>984</v>
      </c>
      <c r="C991" s="18">
        <v>15578000000</v>
      </c>
      <c r="D991" s="32" t="s">
        <v>2175</v>
      </c>
      <c r="E991" s="5">
        <f>IF('зведена (БАЛАНС) (2)'!E991&gt;'зведена (БАЛАНС) (2)'!F991,'зведена (БАЛАНС) (2)'!E991-'зведена (БАЛАНС) (2)'!F991,0)</f>
        <v>0</v>
      </c>
      <c r="F991" s="5">
        <f>IF('зведена (БАЛАНС) (2)'!F991&gt;'зведена (БАЛАНС) (2)'!E991,'зведена (БАЛАНС) (2)'!F991-'зведена (БАЛАНС) (2)'!E991,0)</f>
        <v>5512.9</v>
      </c>
    </row>
    <row r="992" spans="1:6" s="28" customFormat="1" x14ac:dyDescent="0.25">
      <c r="A992" s="38">
        <v>15</v>
      </c>
      <c r="B992" s="34" t="s">
        <v>984</v>
      </c>
      <c r="C992" s="18">
        <v>15579000000</v>
      </c>
      <c r="D992" s="32" t="s">
        <v>2176</v>
      </c>
      <c r="E992" s="5">
        <f>IF('зведена (БАЛАНС) (2)'!E992&gt;'зведена (БАЛАНС) (2)'!F992,'зведена (БАЛАНС) (2)'!E992-'зведена (БАЛАНС) (2)'!F992,0)</f>
        <v>0</v>
      </c>
      <c r="F992" s="5">
        <f>IF('зведена (БАЛАНС) (2)'!F992&gt;'зведена (БАЛАНС) (2)'!E992,'зведена (БАЛАНС) (2)'!F992-'зведена (БАЛАНС) (2)'!E992,0)</f>
        <v>3393.8</v>
      </c>
    </row>
    <row r="993" spans="1:6" s="28" customFormat="1" x14ac:dyDescent="0.25">
      <c r="A993" s="38">
        <v>15</v>
      </c>
      <c r="B993" s="34" t="s">
        <v>984</v>
      </c>
      <c r="C993" s="18">
        <v>15580000000</v>
      </c>
      <c r="D993" s="32" t="s">
        <v>2177</v>
      </c>
      <c r="E993" s="5">
        <f>IF('зведена (БАЛАНС) (2)'!E993&gt;'зведена (БАЛАНС) (2)'!F993,'зведена (БАЛАНС) (2)'!E993-'зведена (БАЛАНС) (2)'!F993,0)</f>
        <v>0</v>
      </c>
      <c r="F993" s="5">
        <f>IF('зведена (БАЛАНС) (2)'!F993&gt;'зведена (БАЛАНС) (2)'!E993,'зведена (БАЛАНС) (2)'!F993-'зведена (БАЛАНС) (2)'!E993,0)</f>
        <v>4621.2</v>
      </c>
    </row>
    <row r="994" spans="1:6" s="28" customFormat="1" x14ac:dyDescent="0.25">
      <c r="A994" s="38">
        <v>15</v>
      </c>
      <c r="B994" s="34" t="s">
        <v>985</v>
      </c>
      <c r="C994" s="18">
        <v>15581000000</v>
      </c>
      <c r="D994" s="32" t="s">
        <v>2178</v>
      </c>
      <c r="E994" s="5">
        <f>IF('зведена (БАЛАНС) (2)'!E994&gt;'зведена (БАЛАНС) (2)'!F994,'зведена (БАЛАНС) (2)'!E994-'зведена (БАЛАНС) (2)'!F994,0)</f>
        <v>0</v>
      </c>
      <c r="F994" s="5">
        <f>IF('зведена (БАЛАНС) (2)'!F994&gt;'зведена (БАЛАНС) (2)'!E994,'зведена (БАЛАНС) (2)'!F994-'зведена (БАЛАНС) (2)'!E994,0)</f>
        <v>21124.799999999999</v>
      </c>
    </row>
    <row r="995" spans="1:6" s="28" customFormat="1" x14ac:dyDescent="0.25">
      <c r="A995" s="38">
        <v>15</v>
      </c>
      <c r="B995" s="34" t="s">
        <v>985</v>
      </c>
      <c r="C995" s="18">
        <v>15582000000</v>
      </c>
      <c r="D995" s="32" t="s">
        <v>2179</v>
      </c>
      <c r="E995" s="5">
        <f>IF('зведена (БАЛАНС) (2)'!E995&gt;'зведена (БАЛАНС) (2)'!F995,'зведена (БАЛАНС) (2)'!E995-'зведена (БАЛАНС) (2)'!F995,0)</f>
        <v>0</v>
      </c>
      <c r="F995" s="5">
        <f>IF('зведена (БАЛАНС) (2)'!F995&gt;'зведена (БАЛАНС) (2)'!E995,'зведена (БАЛАНС) (2)'!F995-'зведена (БАЛАНС) (2)'!E995,0)</f>
        <v>21089.3</v>
      </c>
    </row>
    <row r="996" spans="1:6" s="28" customFormat="1" x14ac:dyDescent="0.25">
      <c r="A996" s="38">
        <v>15</v>
      </c>
      <c r="B996" s="34" t="s">
        <v>983</v>
      </c>
      <c r="C996" s="18">
        <v>15583000000</v>
      </c>
      <c r="D996" s="32" t="s">
        <v>2180</v>
      </c>
      <c r="E996" s="5">
        <f>IF('зведена (БАЛАНС) (2)'!E996&gt;'зведена (БАЛАНС) (2)'!F996,'зведена (БАЛАНС) (2)'!E996-'зведена (БАЛАНС) (2)'!F996,0)</f>
        <v>0</v>
      </c>
      <c r="F996" s="5">
        <f>IF('зведена (БАЛАНС) (2)'!F996&gt;'зведена (БАЛАНС) (2)'!E996,'зведена (БАЛАНС) (2)'!F996-'зведена (БАЛАНС) (2)'!E996,0)</f>
        <v>29139.3</v>
      </c>
    </row>
    <row r="997" spans="1:6" s="28" customFormat="1" x14ac:dyDescent="0.25">
      <c r="A997" s="38">
        <v>15</v>
      </c>
      <c r="B997" s="34" t="s">
        <v>984</v>
      </c>
      <c r="C997" s="18">
        <v>15584000000</v>
      </c>
      <c r="D997" s="32" t="s">
        <v>2181</v>
      </c>
      <c r="E997" s="5">
        <f>IF('зведена (БАЛАНС) (2)'!E997&gt;'зведена (БАЛАНС) (2)'!F997,'зведена (БАЛАНС) (2)'!E997-'зведена (БАЛАНС) (2)'!F997,0)</f>
        <v>0</v>
      </c>
      <c r="F997" s="5">
        <f>IF('зведена (БАЛАНС) (2)'!F997&gt;'зведена (БАЛАНС) (2)'!E997,'зведена (БАЛАНС) (2)'!F997-'зведена (БАЛАНС) (2)'!E997,0)</f>
        <v>7822.8</v>
      </c>
    </row>
    <row r="998" spans="1:6" s="28" customFormat="1" x14ac:dyDescent="0.25">
      <c r="A998" s="38">
        <v>15</v>
      </c>
      <c r="B998" s="34" t="s">
        <v>986</v>
      </c>
      <c r="C998" s="18">
        <v>15585000000</v>
      </c>
      <c r="D998" s="32" t="s">
        <v>2182</v>
      </c>
      <c r="E998" s="5">
        <f>IF('зведена (БАЛАНС) (2)'!E998&gt;'зведена (БАЛАНС) (2)'!F998,'зведена (БАЛАНС) (2)'!E998-'зведена (БАЛАНС) (2)'!F998,0)</f>
        <v>0</v>
      </c>
      <c r="F998" s="5">
        <f>IF('зведена (БАЛАНС) (2)'!F998&gt;'зведена (БАЛАНС) (2)'!E998,'зведена (БАЛАНС) (2)'!F998-'зведена (БАЛАНС) (2)'!E998,0)</f>
        <v>14212.3</v>
      </c>
    </row>
    <row r="999" spans="1:6" s="27" customFormat="1" x14ac:dyDescent="0.25">
      <c r="A999" s="38">
        <v>15</v>
      </c>
      <c r="B999" s="34" t="s">
        <v>984</v>
      </c>
      <c r="C999" s="18">
        <v>15586000000</v>
      </c>
      <c r="D999" s="32" t="s">
        <v>2183</v>
      </c>
      <c r="E999" s="5">
        <f>IF('зведена (БАЛАНС) (2)'!E999&gt;'зведена (БАЛАНС) (2)'!F999,'зведена (БАЛАНС) (2)'!E999-'зведена (БАЛАНС) (2)'!F999,0)</f>
        <v>0</v>
      </c>
      <c r="F999" s="5">
        <f>IF('зведена (БАЛАНС) (2)'!F999&gt;'зведена (БАЛАНС) (2)'!E999,'зведена (БАЛАНС) (2)'!F999-'зведена (БАЛАНС) (2)'!E999,0)</f>
        <v>770.2</v>
      </c>
    </row>
    <row r="1000" spans="1:6" x14ac:dyDescent="0.25">
      <c r="A1000" s="38">
        <v>15</v>
      </c>
      <c r="B1000" s="34" t="s">
        <v>984</v>
      </c>
      <c r="C1000" s="18">
        <v>15587000000</v>
      </c>
      <c r="D1000" s="32" t="s">
        <v>2184</v>
      </c>
      <c r="E1000" s="5">
        <f>IF('зведена (БАЛАНС) (2)'!E1000&gt;'зведена (БАЛАНС) (2)'!F1000,'зведена (БАЛАНС) (2)'!E1000-'зведена (БАЛАНС) (2)'!F1000,0)</f>
        <v>0</v>
      </c>
      <c r="F1000" s="5">
        <f>IF('зведена (БАЛАНС) (2)'!F1000&gt;'зведена (БАЛАНС) (2)'!E1000,'зведена (БАЛАНС) (2)'!F1000-'зведена (БАЛАНС) (2)'!E1000,0)</f>
        <v>8963.5</v>
      </c>
    </row>
    <row r="1001" spans="1:6" x14ac:dyDescent="0.25">
      <c r="A1001" s="38">
        <v>15</v>
      </c>
      <c r="B1001" s="34" t="s">
        <v>984</v>
      </c>
      <c r="C1001" s="18">
        <v>15588000000</v>
      </c>
      <c r="D1001" s="32" t="s">
        <v>2185</v>
      </c>
      <c r="E1001" s="5">
        <f>IF('зведена (БАЛАНС) (2)'!E1001&gt;'зведена (БАЛАНС) (2)'!F1001,'зведена (БАЛАНС) (2)'!E1001-'зведена (БАЛАНС) (2)'!F1001,0)</f>
        <v>0</v>
      </c>
      <c r="F1001" s="5">
        <f>IF('зведена (БАЛАНС) (2)'!F1001&gt;'зведена (БАЛАНС) (2)'!E1001,'зведена (БАЛАНС) (2)'!F1001-'зведена (БАЛАНС) (2)'!E1001,0)</f>
        <v>3293.3</v>
      </c>
    </row>
    <row r="1002" spans="1:6" x14ac:dyDescent="0.25">
      <c r="A1002" s="38">
        <v>15</v>
      </c>
      <c r="B1002" s="34" t="s">
        <v>986</v>
      </c>
      <c r="C1002" s="18">
        <v>15589000000</v>
      </c>
      <c r="D1002" s="32" t="s">
        <v>2186</v>
      </c>
      <c r="E1002" s="5">
        <f>IF('зведена (БАЛАНС) (2)'!E1002&gt;'зведена (БАЛАНС) (2)'!F1002,'зведена (БАЛАНС) (2)'!E1002-'зведена (БАЛАНС) (2)'!F1002,0)</f>
        <v>46214.8</v>
      </c>
      <c r="F1002" s="5">
        <f>IF('зведена (БАЛАНС) (2)'!F1002&gt;'зведена (БАЛАНС) (2)'!E1002,'зведена (БАЛАНС) (2)'!F1002-'зведена (БАЛАНС) (2)'!E1002,0)</f>
        <v>0</v>
      </c>
    </row>
    <row r="1003" spans="1:6" x14ac:dyDescent="0.25">
      <c r="A1003" s="38">
        <v>15</v>
      </c>
      <c r="B1003" s="34" t="s">
        <v>985</v>
      </c>
      <c r="C1003" s="18">
        <v>15590000000</v>
      </c>
      <c r="D1003" s="32" t="s">
        <v>2187</v>
      </c>
      <c r="E1003" s="5">
        <f>IF('зведена (БАЛАНС) (2)'!E1003&gt;'зведена (БАЛАНС) (2)'!F1003,'зведена (БАЛАНС) (2)'!E1003-'зведена (БАЛАНС) (2)'!F1003,0)</f>
        <v>18050.2</v>
      </c>
      <c r="F1003" s="5">
        <f>IF('зведена (БАЛАНС) (2)'!F1003&gt;'зведена (БАЛАНС) (2)'!E1003,'зведена (БАЛАНС) (2)'!F1003-'зведена (БАЛАНС) (2)'!E1003,0)</f>
        <v>0</v>
      </c>
    </row>
    <row r="1004" spans="1:6" x14ac:dyDescent="0.25">
      <c r="A1004" s="38">
        <v>15</v>
      </c>
      <c r="B1004" s="34" t="s">
        <v>986</v>
      </c>
      <c r="C1004" s="18">
        <v>15591000000</v>
      </c>
      <c r="D1004" s="32" t="s">
        <v>2188</v>
      </c>
      <c r="E1004" s="5">
        <f>IF('зведена (БАЛАНС) (2)'!E1004&gt;'зведена (БАЛАНС) (2)'!F1004,'зведена (БАЛАНС) (2)'!E1004-'зведена (БАЛАНС) (2)'!F1004,0)</f>
        <v>93816.8</v>
      </c>
      <c r="F1004" s="5">
        <f>IF('зведена (БАЛАНС) (2)'!F1004&gt;'зведена (БАЛАНС) (2)'!E1004,'зведена (БАЛАНС) (2)'!F1004-'зведена (БАЛАНС) (2)'!E1004,0)</f>
        <v>0</v>
      </c>
    </row>
    <row r="1005" spans="1:6" x14ac:dyDescent="0.25">
      <c r="A1005" s="36">
        <v>16</v>
      </c>
      <c r="B1005" s="17" t="s">
        <v>7</v>
      </c>
      <c r="C1005" s="17" t="s">
        <v>799</v>
      </c>
      <c r="D1005" s="11" t="s">
        <v>18</v>
      </c>
      <c r="E1005" s="11">
        <f>E1006+E1007+E1012</f>
        <v>740108.5</v>
      </c>
      <c r="F1005" s="11">
        <f>F1006+F1007+F1012</f>
        <v>130761.69999999998</v>
      </c>
    </row>
    <row r="1006" spans="1:6" x14ac:dyDescent="0.25">
      <c r="A1006" s="38">
        <v>16</v>
      </c>
      <c r="B1006" s="34" t="s">
        <v>6</v>
      </c>
      <c r="C1006" s="18" t="s">
        <v>144</v>
      </c>
      <c r="D1006" s="32" t="s">
        <v>854</v>
      </c>
      <c r="E1006" s="5">
        <f>IF('зведена (БАЛАНС) (2)'!E1006&gt;'зведена (БАЛАНС) (2)'!F1006,'зведена (БАЛАНС) (2)'!E1006-'зведена (БАЛАНС) (2)'!F1006,0)</f>
        <v>155978.09999999998</v>
      </c>
      <c r="F1006" s="5">
        <f>IF('зведена (БАЛАНС) (2)'!F1006&gt;'зведена (БАЛАНС) (2)'!E1006,'зведена (БАЛАНС) (2)'!F1006-'зведена (БАЛАНС) (2)'!E1006,0)</f>
        <v>0</v>
      </c>
    </row>
    <row r="1007" spans="1:6" x14ac:dyDescent="0.25">
      <c r="A1007" s="37">
        <v>16</v>
      </c>
      <c r="B1007" s="19" t="s">
        <v>5</v>
      </c>
      <c r="C1007" s="19" t="s">
        <v>800</v>
      </c>
      <c r="D1007" s="7" t="s">
        <v>2809</v>
      </c>
      <c r="E1007" s="7">
        <f>SUM(E1008:E1011)</f>
        <v>0</v>
      </c>
      <c r="F1007" s="7">
        <f>SUM(F1008:F1011)</f>
        <v>0</v>
      </c>
    </row>
    <row r="1008" spans="1:6" x14ac:dyDescent="0.25">
      <c r="A1008" s="38">
        <v>16</v>
      </c>
      <c r="B1008" s="34" t="s">
        <v>4</v>
      </c>
      <c r="C1008" s="18" t="s">
        <v>145</v>
      </c>
      <c r="D1008" s="32" t="s">
        <v>937</v>
      </c>
      <c r="E1008" s="5">
        <f>IF('зведена (БАЛАНС) (2)'!E1008&gt;'зведена (БАЛАНС) (2)'!F1008,'зведена (БАЛАНС) (2)'!E1008-'зведена (БАЛАНС) (2)'!F1008,0)</f>
        <v>0</v>
      </c>
      <c r="F1008" s="5">
        <f>IF('зведена (БАЛАНС) (2)'!F1008&gt;'зведена (БАЛАНС) (2)'!E1008,'зведена (БАЛАНС) (2)'!F1008-'зведена (БАЛАНС) (2)'!E1008,0)</f>
        <v>0</v>
      </c>
    </row>
    <row r="1009" spans="1:6" x14ac:dyDescent="0.25">
      <c r="A1009" s="38">
        <v>16</v>
      </c>
      <c r="B1009" s="34" t="s">
        <v>4</v>
      </c>
      <c r="C1009" s="18" t="s">
        <v>146</v>
      </c>
      <c r="D1009" s="32" t="s">
        <v>938</v>
      </c>
      <c r="E1009" s="5">
        <f>IF('зведена (БАЛАНС) (2)'!E1009&gt;'зведена (БАЛАНС) (2)'!F1009,'зведена (БАЛАНС) (2)'!E1009-'зведена (БАЛАНС) (2)'!F1009,0)</f>
        <v>0</v>
      </c>
      <c r="F1009" s="5">
        <f>IF('зведена (БАЛАНС) (2)'!F1009&gt;'зведена (БАЛАНС) (2)'!E1009,'зведена (БАЛАНС) (2)'!F1009-'зведена (БАЛАНС) (2)'!E1009,0)</f>
        <v>0</v>
      </c>
    </row>
    <row r="1010" spans="1:6" x14ac:dyDescent="0.25">
      <c r="A1010" s="38">
        <v>16</v>
      </c>
      <c r="B1010" s="34" t="s">
        <v>4</v>
      </c>
      <c r="C1010" s="18" t="s">
        <v>147</v>
      </c>
      <c r="D1010" s="32" t="s">
        <v>939</v>
      </c>
      <c r="E1010" s="5">
        <f>IF('зведена (БАЛАНС) (2)'!E1010&gt;'зведена (БАЛАНС) (2)'!F1010,'зведена (БАЛАНС) (2)'!E1010-'зведена (БАЛАНС) (2)'!F1010,0)</f>
        <v>0</v>
      </c>
      <c r="F1010" s="5">
        <f>IF('зведена (БАЛАНС) (2)'!F1010&gt;'зведена (БАЛАНС) (2)'!E1010,'зведена (БАЛАНС) (2)'!F1010-'зведена (БАЛАНС) (2)'!E1010,0)</f>
        <v>0</v>
      </c>
    </row>
    <row r="1011" spans="1:6" x14ac:dyDescent="0.25">
      <c r="A1011" s="38">
        <v>16</v>
      </c>
      <c r="B1011" s="34" t="s">
        <v>4</v>
      </c>
      <c r="C1011" s="18" t="s">
        <v>148</v>
      </c>
      <c r="D1011" s="32" t="s">
        <v>940</v>
      </c>
      <c r="E1011" s="5">
        <f>IF('зведена (БАЛАНС) (2)'!E1011&gt;'зведена (БАЛАНС) (2)'!F1011,'зведена (БАЛАНС) (2)'!E1011-'зведена (БАЛАНС) (2)'!F1011,0)</f>
        <v>0</v>
      </c>
      <c r="F1011" s="5">
        <f>IF('зведена (БАЛАНС) (2)'!F1011&gt;'зведена (БАЛАНС) (2)'!E1011,'зведена (БАЛАНС) (2)'!F1011-'зведена (БАЛАНС) (2)'!E1011,0)</f>
        <v>0</v>
      </c>
    </row>
    <row r="1012" spans="1:6" x14ac:dyDescent="0.25">
      <c r="A1012" s="37">
        <v>16</v>
      </c>
      <c r="B1012" s="19" t="s">
        <v>28</v>
      </c>
      <c r="C1012" s="19" t="s">
        <v>801</v>
      </c>
      <c r="D1012" s="20" t="s">
        <v>2782</v>
      </c>
      <c r="E1012" s="7">
        <f>SUM(E1013:E1072)</f>
        <v>584130.4</v>
      </c>
      <c r="F1012" s="7">
        <f>SUM(F1013:F1072)</f>
        <v>130761.69999999998</v>
      </c>
    </row>
    <row r="1013" spans="1:6" x14ac:dyDescent="0.25">
      <c r="A1013" s="38">
        <v>16</v>
      </c>
      <c r="B1013" s="34" t="s">
        <v>984</v>
      </c>
      <c r="C1013" s="18" t="s">
        <v>149</v>
      </c>
      <c r="D1013" s="32" t="s">
        <v>2189</v>
      </c>
      <c r="E1013" s="5">
        <f>IF('зведена (БАЛАНС) (2)'!E1013&gt;'зведена (БАЛАНС) (2)'!F1013,'зведена (БАЛАНС) (2)'!E1013-'зведена (БАЛАНС) (2)'!F1013,0)</f>
        <v>6471.8</v>
      </c>
      <c r="F1013" s="5">
        <f>IF('зведена (БАЛАНС) (2)'!F1013&gt;'зведена (БАЛАНС) (2)'!E1013,'зведена (БАЛАНС) (2)'!F1013-'зведена (БАЛАНС) (2)'!E1013,0)</f>
        <v>0</v>
      </c>
    </row>
    <row r="1014" spans="1:6" x14ac:dyDescent="0.25">
      <c r="A1014" s="38">
        <v>16</v>
      </c>
      <c r="B1014" s="34" t="s">
        <v>983</v>
      </c>
      <c r="C1014" s="18" t="s">
        <v>150</v>
      </c>
      <c r="D1014" s="32" t="s">
        <v>2190</v>
      </c>
      <c r="E1014" s="5">
        <f>IF('зведена (БАЛАНС) (2)'!E1014&gt;'зведена (БАЛАНС) (2)'!F1014,'зведена (БАЛАНС) (2)'!E1014-'зведена (БАЛАНС) (2)'!F1014,0)</f>
        <v>23137.8</v>
      </c>
      <c r="F1014" s="5">
        <f>IF('зведена (БАЛАНС) (2)'!F1014&gt;'зведена (БАЛАНС) (2)'!E1014,'зведена (БАЛАНС) (2)'!F1014-'зведена (БАЛАНС) (2)'!E1014,0)</f>
        <v>0</v>
      </c>
    </row>
    <row r="1015" spans="1:6" x14ac:dyDescent="0.25">
      <c r="A1015" s="38">
        <v>16</v>
      </c>
      <c r="B1015" s="34" t="s">
        <v>984</v>
      </c>
      <c r="C1015" s="18" t="s">
        <v>151</v>
      </c>
      <c r="D1015" s="32" t="s">
        <v>2191</v>
      </c>
      <c r="E1015" s="5">
        <f>IF('зведена (БАЛАНС) (2)'!E1015&gt;'зведена (БАЛАНС) (2)'!F1015,'зведена (БАЛАНС) (2)'!E1015-'зведена (БАЛАНС) (2)'!F1015,0)</f>
        <v>0</v>
      </c>
      <c r="F1015" s="5">
        <f>IF('зведена (БАЛАНС) (2)'!F1015&gt;'зведена (БАЛАНС) (2)'!E1015,'зведена (БАЛАНС) (2)'!F1015-'зведена (БАЛАНС) (2)'!E1015,0)</f>
        <v>1027</v>
      </c>
    </row>
    <row r="1016" spans="1:6" x14ac:dyDescent="0.25">
      <c r="A1016" s="38">
        <v>16</v>
      </c>
      <c r="B1016" s="34" t="s">
        <v>983</v>
      </c>
      <c r="C1016" s="18" t="s">
        <v>152</v>
      </c>
      <c r="D1016" s="32" t="s">
        <v>2192</v>
      </c>
      <c r="E1016" s="5">
        <f>IF('зведена (БАЛАНС) (2)'!E1016&gt;'зведена (БАЛАНС) (2)'!F1016,'зведена (БАЛАНС) (2)'!E1016-'зведена (БАЛАНС) (2)'!F1016,0)</f>
        <v>0</v>
      </c>
      <c r="F1016" s="5">
        <f>IF('зведена (БАЛАНС) (2)'!F1016&gt;'зведена (БАЛАНС) (2)'!E1016,'зведена (БАЛАНС) (2)'!F1016-'зведена (БАЛАНС) (2)'!E1016,0)</f>
        <v>372.5</v>
      </c>
    </row>
    <row r="1017" spans="1:6" x14ac:dyDescent="0.25">
      <c r="A1017" s="38">
        <v>16</v>
      </c>
      <c r="B1017" s="34" t="s">
        <v>984</v>
      </c>
      <c r="C1017" s="18" t="s">
        <v>153</v>
      </c>
      <c r="D1017" s="32" t="s">
        <v>1270</v>
      </c>
      <c r="E1017" s="5">
        <f>IF('зведена (БАЛАНС) (2)'!E1017&gt;'зведена (БАЛАНС) (2)'!F1017,'зведена (БАЛАНС) (2)'!E1017-'зведена (БАЛАНС) (2)'!F1017,0)</f>
        <v>0</v>
      </c>
      <c r="F1017" s="5">
        <f>IF('зведена (БАЛАНС) (2)'!F1017&gt;'зведена (БАЛАНС) (2)'!E1017,'зведена (БАЛАНС) (2)'!F1017-'зведена (БАЛАНС) (2)'!E1017,0)</f>
        <v>5252.4</v>
      </c>
    </row>
    <row r="1018" spans="1:6" x14ac:dyDescent="0.25">
      <c r="A1018" s="38">
        <v>16</v>
      </c>
      <c r="B1018" s="34" t="s">
        <v>984</v>
      </c>
      <c r="C1018" s="18" t="s">
        <v>154</v>
      </c>
      <c r="D1018" s="32" t="s">
        <v>2193</v>
      </c>
      <c r="E1018" s="5">
        <f>IF('зведена (БАЛАНС) (2)'!E1018&gt;'зведена (БАЛАНС) (2)'!F1018,'зведена (БАЛАНС) (2)'!E1018-'зведена (БАЛАНС) (2)'!F1018,0)</f>
        <v>0</v>
      </c>
      <c r="F1018" s="5">
        <f>IF('зведена (БАЛАНС) (2)'!F1018&gt;'зведена (БАЛАНС) (2)'!E1018,'зведена (БАЛАНС) (2)'!F1018-'зведена (БАЛАНС) (2)'!E1018,0)</f>
        <v>2211.9</v>
      </c>
    </row>
    <row r="1019" spans="1:6" x14ac:dyDescent="0.25">
      <c r="A1019" s="38">
        <v>16</v>
      </c>
      <c r="B1019" s="34" t="s">
        <v>985</v>
      </c>
      <c r="C1019" s="18" t="s">
        <v>155</v>
      </c>
      <c r="D1019" s="32" t="s">
        <v>2194</v>
      </c>
      <c r="E1019" s="5">
        <f>IF('зведена (БАЛАНС) (2)'!E1019&gt;'зведена (БАЛАНС) (2)'!F1019,'зведена (БАЛАНС) (2)'!E1019-'зведена (БАЛАНС) (2)'!F1019,0)</f>
        <v>0</v>
      </c>
      <c r="F1019" s="5">
        <f>IF('зведена (БАЛАНС) (2)'!F1019&gt;'зведена (БАЛАНС) (2)'!E1019,'зведена (БАЛАНС) (2)'!F1019-'зведена (БАЛАНС) (2)'!E1019,0)</f>
        <v>1059.5999999999999</v>
      </c>
    </row>
    <row r="1020" spans="1:6" x14ac:dyDescent="0.25">
      <c r="A1020" s="38">
        <v>16</v>
      </c>
      <c r="B1020" s="34" t="s">
        <v>985</v>
      </c>
      <c r="C1020" s="18" t="s">
        <v>156</v>
      </c>
      <c r="D1020" s="32" t="s">
        <v>2195</v>
      </c>
      <c r="E1020" s="5">
        <f>IF('зведена (БАЛАНС) (2)'!E1020&gt;'зведена (БАЛАНС) (2)'!F1020,'зведена (БАЛАНС) (2)'!E1020-'зведена (БАЛАНС) (2)'!F1020,0)</f>
        <v>8789.2000000000007</v>
      </c>
      <c r="F1020" s="5">
        <f>IF('зведена (БАЛАНС) (2)'!F1020&gt;'зведена (БАЛАНС) (2)'!E1020,'зведена (БАЛАНС) (2)'!F1020-'зведена (БАЛАНС) (2)'!E1020,0)</f>
        <v>0</v>
      </c>
    </row>
    <row r="1021" spans="1:6" x14ac:dyDescent="0.25">
      <c r="A1021" s="38">
        <v>16</v>
      </c>
      <c r="B1021" s="34" t="s">
        <v>985</v>
      </c>
      <c r="C1021" s="18" t="s">
        <v>287</v>
      </c>
      <c r="D1021" s="32" t="s">
        <v>2196</v>
      </c>
      <c r="E1021" s="5">
        <f>IF('зведена (БАЛАНС) (2)'!E1021&gt;'зведена (БАЛАНС) (2)'!F1021,'зведена (БАЛАНС) (2)'!E1021-'зведена (БАЛАНС) (2)'!F1021,0)</f>
        <v>0</v>
      </c>
      <c r="F1021" s="5">
        <f>IF('зведена (БАЛАНС) (2)'!F1021&gt;'зведена (БАЛАНС) (2)'!E1021,'зведена (БАЛАНС) (2)'!F1021-'зведена (БАЛАНС) (2)'!E1021,0)</f>
        <v>2608.6999999999998</v>
      </c>
    </row>
    <row r="1022" spans="1:6" x14ac:dyDescent="0.25">
      <c r="A1022" s="38">
        <v>16</v>
      </c>
      <c r="B1022" s="34" t="s">
        <v>983</v>
      </c>
      <c r="C1022" s="18" t="s">
        <v>404</v>
      </c>
      <c r="D1022" s="32" t="s">
        <v>3063</v>
      </c>
      <c r="E1022" s="5">
        <f>IF('зведена (БАЛАНС) (2)'!E1022&gt;'зведена (БАЛАНС) (2)'!F1022,'зведена (БАЛАНС) (2)'!E1022-'зведена (БАЛАНС) (2)'!F1022,0)</f>
        <v>0</v>
      </c>
      <c r="F1022" s="5">
        <f>IF('зведена (БАЛАНС) (2)'!F1022&gt;'зведена (БАЛАНС) (2)'!E1022,'зведена (БАЛАНС) (2)'!F1022-'зведена (БАЛАНС) (2)'!E1022,0)</f>
        <v>0</v>
      </c>
    </row>
    <row r="1023" spans="1:6" x14ac:dyDescent="0.25">
      <c r="A1023" s="38">
        <v>16</v>
      </c>
      <c r="B1023" s="34" t="s">
        <v>984</v>
      </c>
      <c r="C1023" s="18" t="s">
        <v>405</v>
      </c>
      <c r="D1023" s="32" t="s">
        <v>2198</v>
      </c>
      <c r="E1023" s="5">
        <f>IF('зведена (БАЛАНС) (2)'!E1023&gt;'зведена (БАЛАНС) (2)'!F1023,'зведена (БАЛАНС) (2)'!E1023-'зведена (БАЛАНС) (2)'!F1023,0)</f>
        <v>409.2</v>
      </c>
      <c r="F1023" s="5">
        <f>IF('зведена (БАЛАНС) (2)'!F1023&gt;'зведена (БАЛАНС) (2)'!E1023,'зведена (БАЛАНС) (2)'!F1023-'зведена (БАЛАНС) (2)'!E1023,0)</f>
        <v>0</v>
      </c>
    </row>
    <row r="1024" spans="1:6" x14ac:dyDescent="0.25">
      <c r="A1024" s="38">
        <v>16</v>
      </c>
      <c r="B1024" s="34" t="s">
        <v>984</v>
      </c>
      <c r="C1024" s="18" t="s">
        <v>406</v>
      </c>
      <c r="D1024" s="32" t="s">
        <v>2199</v>
      </c>
      <c r="E1024" s="5">
        <f>IF('зведена (БАЛАНС) (2)'!E1024&gt;'зведена (БАЛАНС) (2)'!F1024,'зведена (БАЛАНС) (2)'!E1024-'зведена (БАЛАНС) (2)'!F1024,0)</f>
        <v>0</v>
      </c>
      <c r="F1024" s="5">
        <f>IF('зведена (БАЛАНС) (2)'!F1024&gt;'зведена (БАЛАНС) (2)'!E1024,'зведена (БАЛАНС) (2)'!F1024-'зведена (БАЛАНС) (2)'!E1024,0)</f>
        <v>0</v>
      </c>
    </row>
    <row r="1025" spans="1:6" x14ac:dyDescent="0.25">
      <c r="A1025" s="38">
        <v>16</v>
      </c>
      <c r="B1025" s="34" t="s">
        <v>985</v>
      </c>
      <c r="C1025" s="18" t="s">
        <v>492</v>
      </c>
      <c r="D1025" s="32" t="s">
        <v>2200</v>
      </c>
      <c r="E1025" s="5">
        <f>IF('зведена (БАЛАНС) (2)'!E1025&gt;'зведена (БАЛАНС) (2)'!F1025,'зведена (БАЛАНС) (2)'!E1025-'зведена (БАЛАНС) (2)'!F1025,0)</f>
        <v>0</v>
      </c>
      <c r="F1025" s="5">
        <f>IF('зведена (БАЛАНС) (2)'!F1025&gt;'зведена (БАЛАНС) (2)'!E1025,'зведена (БАЛАНС) (2)'!F1025-'зведена (БАЛАНС) (2)'!E1025,0)</f>
        <v>0</v>
      </c>
    </row>
    <row r="1026" spans="1:6" x14ac:dyDescent="0.25">
      <c r="A1026" s="38">
        <v>16</v>
      </c>
      <c r="B1026" s="34" t="s">
        <v>983</v>
      </c>
      <c r="C1026" s="18" t="s">
        <v>598</v>
      </c>
      <c r="D1026" s="32" t="s">
        <v>2201</v>
      </c>
      <c r="E1026" s="5">
        <f>IF('зведена (БАЛАНС) (2)'!E1026&gt;'зведена (БАЛАНС) (2)'!F1026,'зведена (БАЛАНС) (2)'!E1026-'зведена (БАЛАНС) (2)'!F1026,0)</f>
        <v>0</v>
      </c>
      <c r="F1026" s="5">
        <f>IF('зведена (БАЛАНС) (2)'!F1026&gt;'зведена (БАЛАНС) (2)'!E1026,'зведена (БАЛАНС) (2)'!F1026-'зведена (БАЛАНС) (2)'!E1026,0)</f>
        <v>0</v>
      </c>
    </row>
    <row r="1027" spans="1:6" x14ac:dyDescent="0.25">
      <c r="A1027" s="38">
        <v>16</v>
      </c>
      <c r="B1027" s="34" t="s">
        <v>984</v>
      </c>
      <c r="C1027" s="18" t="s">
        <v>599</v>
      </c>
      <c r="D1027" s="32" t="s">
        <v>2202</v>
      </c>
      <c r="E1027" s="5">
        <f>IF('зведена (БАЛАНС) (2)'!E1027&gt;'зведена (БАЛАНС) (2)'!F1027,'зведена (БАЛАНС) (2)'!E1027-'зведена (БАЛАНС) (2)'!F1027,0)</f>
        <v>0</v>
      </c>
      <c r="F1027" s="5">
        <f>IF('зведена (БАЛАНС) (2)'!F1027&gt;'зведена (БАЛАНС) (2)'!E1027,'зведена (БАЛАНС) (2)'!F1027-'зведена (БАЛАНС) (2)'!E1027,0)</f>
        <v>0</v>
      </c>
    </row>
    <row r="1028" spans="1:6" x14ac:dyDescent="0.25">
      <c r="A1028" s="38">
        <v>16</v>
      </c>
      <c r="B1028" s="34" t="s">
        <v>983</v>
      </c>
      <c r="C1028" s="18" t="s">
        <v>600</v>
      </c>
      <c r="D1028" s="32" t="s">
        <v>3064</v>
      </c>
      <c r="E1028" s="5">
        <f>IF('зведена (БАЛАНС) (2)'!E1028&gt;'зведена (БАЛАНС) (2)'!F1028,'зведена (БАЛАНС) (2)'!E1028-'зведена (БАЛАНС) (2)'!F1028,0)</f>
        <v>4166.3</v>
      </c>
      <c r="F1028" s="5">
        <f>IF('зведена (БАЛАНС) (2)'!F1028&gt;'зведена (БАЛАНС) (2)'!E1028,'зведена (БАЛАНС) (2)'!F1028-'зведена (БАЛАНС) (2)'!E1028,0)</f>
        <v>0</v>
      </c>
    </row>
    <row r="1029" spans="1:6" x14ac:dyDescent="0.25">
      <c r="A1029" s="38">
        <v>16</v>
      </c>
      <c r="B1029" s="34" t="s">
        <v>984</v>
      </c>
      <c r="C1029" s="18" t="s">
        <v>601</v>
      </c>
      <c r="D1029" s="32" t="s">
        <v>1631</v>
      </c>
      <c r="E1029" s="5">
        <f>IF('зведена (БАЛАНС) (2)'!E1029&gt;'зведена (БАЛАНС) (2)'!F1029,'зведена (БАЛАНС) (2)'!E1029-'зведена (БАЛАНС) (2)'!F1029,0)</f>
        <v>7609.5</v>
      </c>
      <c r="F1029" s="5">
        <f>IF('зведена (БАЛАНС) (2)'!F1029&gt;'зведена (БАЛАНС) (2)'!E1029,'зведена (БАЛАНС) (2)'!F1029-'зведена (БАЛАНС) (2)'!E1029,0)</f>
        <v>0</v>
      </c>
    </row>
    <row r="1030" spans="1:6" s="29" customFormat="1" x14ac:dyDescent="0.25">
      <c r="A1030" s="38">
        <v>16</v>
      </c>
      <c r="B1030" s="34" t="s">
        <v>984</v>
      </c>
      <c r="C1030" s="18" t="s">
        <v>602</v>
      </c>
      <c r="D1030" s="32" t="s">
        <v>2204</v>
      </c>
      <c r="E1030" s="5">
        <f>IF('зведена (БАЛАНС) (2)'!E1030&gt;'зведена (БАЛАНС) (2)'!F1030,'зведена (БАЛАНС) (2)'!E1030-'зведена (БАЛАНС) (2)'!F1030,0)</f>
        <v>5701.3</v>
      </c>
      <c r="F1030" s="5">
        <f>IF('зведена (БАЛАНС) (2)'!F1030&gt;'зведена (БАЛАНС) (2)'!E1030,'зведена (БАЛАНС) (2)'!F1030-'зведена (БАЛАНС) (2)'!E1030,0)</f>
        <v>0</v>
      </c>
    </row>
    <row r="1031" spans="1:6" s="29" customFormat="1" x14ac:dyDescent="0.25">
      <c r="A1031" s="38">
        <v>16</v>
      </c>
      <c r="B1031" s="34" t="s">
        <v>984</v>
      </c>
      <c r="C1031" s="18" t="s">
        <v>603</v>
      </c>
      <c r="D1031" s="32" t="s">
        <v>2205</v>
      </c>
      <c r="E1031" s="5">
        <f>IF('зведена (БАЛАНС) (2)'!E1031&gt;'зведена (БАЛАНС) (2)'!F1031,'зведена (БАЛАНС) (2)'!E1031-'зведена (БАЛАНС) (2)'!F1031,0)</f>
        <v>3113.5</v>
      </c>
      <c r="F1031" s="5">
        <f>IF('зведена (БАЛАНС) (2)'!F1031&gt;'зведена (БАЛАНС) (2)'!E1031,'зведена (БАЛАНС) (2)'!F1031-'зведена (БАЛАНС) (2)'!E1031,0)</f>
        <v>0</v>
      </c>
    </row>
    <row r="1032" spans="1:6" s="29" customFormat="1" x14ac:dyDescent="0.25">
      <c r="A1032" s="38">
        <v>16</v>
      </c>
      <c r="B1032" s="34" t="s">
        <v>985</v>
      </c>
      <c r="C1032" s="18" t="s">
        <v>604</v>
      </c>
      <c r="D1032" s="32" t="s">
        <v>2206</v>
      </c>
      <c r="E1032" s="5">
        <f>IF('зведена (БАЛАНС) (2)'!E1032&gt;'зведена (БАЛАНС) (2)'!F1032,'зведена (БАЛАНС) (2)'!E1032-'зведена (БАЛАНС) (2)'!F1032,0)</f>
        <v>0</v>
      </c>
      <c r="F1032" s="5">
        <f>IF('зведена (БАЛАНС) (2)'!F1032&gt;'зведена (БАЛАНС) (2)'!E1032,'зведена (БАЛАНС) (2)'!F1032-'зведена (БАЛАНС) (2)'!E1032,0)</f>
        <v>11522.8</v>
      </c>
    </row>
    <row r="1033" spans="1:6" s="29" customFormat="1" x14ac:dyDescent="0.25">
      <c r="A1033" s="38">
        <v>16</v>
      </c>
      <c r="B1033" s="34" t="s">
        <v>985</v>
      </c>
      <c r="C1033" s="18" t="s">
        <v>605</v>
      </c>
      <c r="D1033" s="32" t="s">
        <v>3065</v>
      </c>
      <c r="E1033" s="5">
        <f>IF('зведена (БАЛАНС) (2)'!E1033&gt;'зведена (БАЛАНС) (2)'!F1033,'зведена (БАЛАНС) (2)'!E1033-'зведена (БАЛАНС) (2)'!F1033,0)</f>
        <v>0</v>
      </c>
      <c r="F1033" s="5">
        <f>IF('зведена (БАЛАНС) (2)'!F1033&gt;'зведена (БАЛАНС) (2)'!E1033,'зведена (БАЛАНС) (2)'!F1033-'зведена (БАЛАНС) (2)'!E1033,0)</f>
        <v>2540.5</v>
      </c>
    </row>
    <row r="1034" spans="1:6" s="29" customFormat="1" x14ac:dyDescent="0.25">
      <c r="A1034" s="38">
        <v>16</v>
      </c>
      <c r="B1034" s="34" t="s">
        <v>984</v>
      </c>
      <c r="C1034" s="18" t="s">
        <v>606</v>
      </c>
      <c r="D1034" s="32" t="s">
        <v>2208</v>
      </c>
      <c r="E1034" s="5">
        <f>IF('зведена (БАЛАНС) (2)'!E1034&gt;'зведена (БАЛАНС) (2)'!F1034,'зведена (БАЛАНС) (2)'!E1034-'зведена (БАЛАНС) (2)'!F1034,0)</f>
        <v>426.4</v>
      </c>
      <c r="F1034" s="5">
        <f>IF('зведена (БАЛАНС) (2)'!F1034&gt;'зведена (БАЛАНС) (2)'!E1034,'зведена (БАЛАНС) (2)'!F1034-'зведена (БАЛАНС) (2)'!E1034,0)</f>
        <v>0</v>
      </c>
    </row>
    <row r="1035" spans="1:6" ht="31.5" x14ac:dyDescent="0.25">
      <c r="A1035" s="38">
        <v>16</v>
      </c>
      <c r="B1035" s="34" t="s">
        <v>984</v>
      </c>
      <c r="C1035" s="18" t="s">
        <v>708</v>
      </c>
      <c r="D1035" s="32" t="s">
        <v>2209</v>
      </c>
      <c r="E1035" s="5">
        <f>IF('зведена (БАЛАНС) (2)'!E1035&gt;'зведена (БАЛАНС) (2)'!F1035,'зведена (БАЛАНС) (2)'!E1035-'зведена (БАЛАНС) (2)'!F1035,0)</f>
        <v>0</v>
      </c>
      <c r="F1035" s="5">
        <f>IF('зведена (БАЛАНС) (2)'!F1035&gt;'зведена (БАЛАНС) (2)'!E1035,'зведена (БАЛАНС) (2)'!F1035-'зведена (БАЛАНС) (2)'!E1035,0)</f>
        <v>3002.8</v>
      </c>
    </row>
    <row r="1036" spans="1:6" x14ac:dyDescent="0.25">
      <c r="A1036" s="38">
        <v>16</v>
      </c>
      <c r="B1036" s="34" t="s">
        <v>985</v>
      </c>
      <c r="C1036" s="18" t="s">
        <v>709</v>
      </c>
      <c r="D1036" s="32" t="s">
        <v>2210</v>
      </c>
      <c r="E1036" s="5">
        <f>IF('зведена (БАЛАНС) (2)'!E1036&gt;'зведена (БАЛАНС) (2)'!F1036,'зведена (БАЛАНС) (2)'!E1036-'зведена (БАЛАНС) (2)'!F1036,0)</f>
        <v>0</v>
      </c>
      <c r="F1036" s="5">
        <f>IF('зведена (БАЛАНС) (2)'!F1036&gt;'зведена (БАЛАНС) (2)'!E1036,'зведена (БАЛАНС) (2)'!F1036-'зведена (БАЛАНС) (2)'!E1036,0)</f>
        <v>636.1</v>
      </c>
    </row>
    <row r="1037" spans="1:6" x14ac:dyDescent="0.25">
      <c r="A1037" s="38">
        <v>16</v>
      </c>
      <c r="B1037" s="34" t="s">
        <v>985</v>
      </c>
      <c r="C1037" s="18" t="s">
        <v>710</v>
      </c>
      <c r="D1037" s="32" t="s">
        <v>2211</v>
      </c>
      <c r="E1037" s="5">
        <f>IF('зведена (БАЛАНС) (2)'!E1037&gt;'зведена (БАЛАНС) (2)'!F1037,'зведена (БАЛАНС) (2)'!E1037-'зведена (БАЛАНС) (2)'!F1037,0)</f>
        <v>16955.7</v>
      </c>
      <c r="F1037" s="5">
        <f>IF('зведена (БАЛАНС) (2)'!F1037&gt;'зведена (БАЛАНС) (2)'!E1037,'зведена (БАЛАНС) (2)'!F1037-'зведена (БАЛАНС) (2)'!E1037,0)</f>
        <v>0</v>
      </c>
    </row>
    <row r="1038" spans="1:6" x14ac:dyDescent="0.25">
      <c r="A1038" s="38">
        <v>16</v>
      </c>
      <c r="B1038" s="34" t="s">
        <v>984</v>
      </c>
      <c r="C1038" s="18" t="s">
        <v>711</v>
      </c>
      <c r="D1038" s="32" t="s">
        <v>2212</v>
      </c>
      <c r="E1038" s="5">
        <f>IF('зведена (БАЛАНС) (2)'!E1038&gt;'зведена (БАЛАНС) (2)'!F1038,'зведена (БАЛАНС) (2)'!E1038-'зведена (БАЛАНС) (2)'!F1038,0)</f>
        <v>3679</v>
      </c>
      <c r="F1038" s="5">
        <f>IF('зведена (БАЛАНС) (2)'!F1038&gt;'зведена (БАЛАНС) (2)'!E1038,'зведена (БАЛАНС) (2)'!F1038-'зведена (БАЛАНС) (2)'!E1038,0)</f>
        <v>0</v>
      </c>
    </row>
    <row r="1039" spans="1:6" x14ac:dyDescent="0.25">
      <c r="A1039" s="38">
        <v>16</v>
      </c>
      <c r="B1039" s="34" t="s">
        <v>984</v>
      </c>
      <c r="C1039" s="18" t="s">
        <v>712</v>
      </c>
      <c r="D1039" s="32" t="s">
        <v>2213</v>
      </c>
      <c r="E1039" s="5">
        <f>IF('зведена (БАЛАНС) (2)'!E1039&gt;'зведена (БАЛАНС) (2)'!F1039,'зведена (БАЛАНС) (2)'!E1039-'зведена (БАЛАНС) (2)'!F1039,0)</f>
        <v>0</v>
      </c>
      <c r="F1039" s="5">
        <f>IF('зведена (БАЛАНС) (2)'!F1039&gt;'зведена (БАЛАНС) (2)'!E1039,'зведена (БАЛАНС) (2)'!F1039-'зведена (БАЛАНС) (2)'!E1039,0)</f>
        <v>1484.2</v>
      </c>
    </row>
    <row r="1040" spans="1:6" x14ac:dyDescent="0.25">
      <c r="A1040" s="38">
        <v>16</v>
      </c>
      <c r="B1040" s="34" t="s">
        <v>984</v>
      </c>
      <c r="C1040" s="18" t="s">
        <v>713</v>
      </c>
      <c r="D1040" s="32" t="s">
        <v>2214</v>
      </c>
      <c r="E1040" s="5">
        <f>IF('зведена (БАЛАНС) (2)'!E1040&gt;'зведена (БАЛАНС) (2)'!F1040,'зведена (БАЛАНС) (2)'!E1040-'зведена (БАЛАНС) (2)'!F1040,0)</f>
        <v>0</v>
      </c>
      <c r="F1040" s="5">
        <f>IF('зведена (БАЛАНС) (2)'!F1040&gt;'зведена (БАЛАНС) (2)'!E1040,'зведена (БАЛАНС) (2)'!F1040-'зведена (БАЛАНС) (2)'!E1040,0)</f>
        <v>4839.8</v>
      </c>
    </row>
    <row r="1041" spans="1:6" x14ac:dyDescent="0.25">
      <c r="A1041" s="38">
        <v>16</v>
      </c>
      <c r="B1041" s="34" t="s">
        <v>984</v>
      </c>
      <c r="C1041" s="18">
        <v>16540000000</v>
      </c>
      <c r="D1041" s="32" t="s">
        <v>2215</v>
      </c>
      <c r="E1041" s="5">
        <f>IF('зведена (БАЛАНС) (2)'!E1041&gt;'зведена (БАЛАНС) (2)'!F1041,'зведена (БАЛАНС) (2)'!E1041-'зведена (БАЛАНС) (2)'!F1041,0)</f>
        <v>0</v>
      </c>
      <c r="F1041" s="5">
        <f>IF('зведена (БАЛАНС) (2)'!F1041&gt;'зведена (БАЛАНС) (2)'!E1041,'зведена (БАЛАНС) (2)'!F1041-'зведена (БАЛАНС) (2)'!E1041,0)</f>
        <v>8929.2999999999993</v>
      </c>
    </row>
    <row r="1042" spans="1:6" x14ac:dyDescent="0.25">
      <c r="A1042" s="38">
        <v>16</v>
      </c>
      <c r="B1042" s="34" t="s">
        <v>984</v>
      </c>
      <c r="C1042" s="18">
        <v>16541000000</v>
      </c>
      <c r="D1042" s="32" t="s">
        <v>2216</v>
      </c>
      <c r="E1042" s="5">
        <f>IF('зведена (БАЛАНС) (2)'!E1042&gt;'зведена (БАЛАНС) (2)'!F1042,'зведена (БАЛАНС) (2)'!E1042-'зведена (БАЛАНС) (2)'!F1042,0)</f>
        <v>0</v>
      </c>
      <c r="F1042" s="5">
        <f>IF('зведена (БАЛАНС) (2)'!F1042&gt;'зведена (БАЛАНС) (2)'!E1042,'зведена (БАЛАНС) (2)'!F1042-'зведена (БАЛАНС) (2)'!E1042,0)</f>
        <v>3000.6</v>
      </c>
    </row>
    <row r="1043" spans="1:6" s="28" customFormat="1" x14ac:dyDescent="0.25">
      <c r="A1043" s="38">
        <v>16</v>
      </c>
      <c r="B1043" s="34" t="s">
        <v>984</v>
      </c>
      <c r="C1043" s="18">
        <v>16542000000</v>
      </c>
      <c r="D1043" s="32" t="s">
        <v>2217</v>
      </c>
      <c r="E1043" s="5">
        <f>IF('зведена (БАЛАНС) (2)'!E1043&gt;'зведена (БАЛАНС) (2)'!F1043,'зведена (БАЛАНС) (2)'!E1043-'зведена (БАЛАНС) (2)'!F1043,0)</f>
        <v>0</v>
      </c>
      <c r="F1043" s="5">
        <f>IF('зведена (БАЛАНС) (2)'!F1043&gt;'зведена (БАЛАНС) (2)'!E1043,'зведена (БАЛАНС) (2)'!F1043-'зведена (БАЛАНС) (2)'!E1043,0)</f>
        <v>0</v>
      </c>
    </row>
    <row r="1044" spans="1:6" s="28" customFormat="1" x14ac:dyDescent="0.25">
      <c r="A1044" s="38">
        <v>16</v>
      </c>
      <c r="B1044" s="34" t="s">
        <v>985</v>
      </c>
      <c r="C1044" s="18">
        <v>16543000000</v>
      </c>
      <c r="D1044" s="32" t="s">
        <v>2218</v>
      </c>
      <c r="E1044" s="5">
        <f>IF('зведена (БАЛАНС) (2)'!E1044&gt;'зведена (БАЛАНС) (2)'!F1044,'зведена (БАЛАНС) (2)'!E1044-'зведена (БАЛАНС) (2)'!F1044,0)</f>
        <v>4410.1000000000004</v>
      </c>
      <c r="F1044" s="5">
        <f>IF('зведена (БАЛАНС) (2)'!F1044&gt;'зведена (БАЛАНС) (2)'!E1044,'зведена (БАЛАНС) (2)'!F1044-'зведена (БАЛАНС) (2)'!E1044,0)</f>
        <v>0</v>
      </c>
    </row>
    <row r="1045" spans="1:6" s="28" customFormat="1" x14ac:dyDescent="0.25">
      <c r="A1045" s="38">
        <v>16</v>
      </c>
      <c r="B1045" s="34" t="s">
        <v>985</v>
      </c>
      <c r="C1045" s="18">
        <v>16544000000</v>
      </c>
      <c r="D1045" s="32" t="s">
        <v>3066</v>
      </c>
      <c r="E1045" s="5">
        <f>IF('зведена (БАЛАНС) (2)'!E1045&gt;'зведена (БАЛАНС) (2)'!F1045,'зведена (БАЛАНС) (2)'!E1045-'зведена (БАЛАНС) (2)'!F1045,0)</f>
        <v>0</v>
      </c>
      <c r="F1045" s="5">
        <f>IF('зведена (БАЛАНС) (2)'!F1045&gt;'зведена (БАЛАНС) (2)'!E1045,'зведена (БАЛАНС) (2)'!F1045-'зведена (БАЛАНС) (2)'!E1045,0)</f>
        <v>0</v>
      </c>
    </row>
    <row r="1046" spans="1:6" s="28" customFormat="1" x14ac:dyDescent="0.25">
      <c r="A1046" s="38">
        <v>16</v>
      </c>
      <c r="B1046" s="34" t="s">
        <v>986</v>
      </c>
      <c r="C1046" s="18">
        <v>16545000000</v>
      </c>
      <c r="D1046" s="32" t="s">
        <v>3067</v>
      </c>
      <c r="E1046" s="5">
        <f>IF('зведена (БАЛАНС) (2)'!E1046&gt;'зведена (БАЛАНС) (2)'!F1046,'зведена (БАЛАНС) (2)'!E1046-'зведена (БАЛАНС) (2)'!F1046,0)</f>
        <v>0</v>
      </c>
      <c r="F1046" s="5">
        <f>IF('зведена (БАЛАНС) (2)'!F1046&gt;'зведена (БАЛАНС) (2)'!E1046,'зведена (БАЛАНС) (2)'!F1046-'зведена (БАЛАНС) (2)'!E1046,0)</f>
        <v>9330.1</v>
      </c>
    </row>
    <row r="1047" spans="1:6" s="28" customFormat="1" x14ac:dyDescent="0.25">
      <c r="A1047" s="38">
        <v>16</v>
      </c>
      <c r="B1047" s="34" t="s">
        <v>986</v>
      </c>
      <c r="C1047" s="18">
        <v>16546000000</v>
      </c>
      <c r="D1047" s="32" t="s">
        <v>3068</v>
      </c>
      <c r="E1047" s="5">
        <f>IF('зведена (БАЛАНС) (2)'!E1047&gt;'зведена (БАЛАНС) (2)'!F1047,'зведена (БАЛАНС) (2)'!E1047-'зведена (БАЛАНС) (2)'!F1047,0)</f>
        <v>99115.6</v>
      </c>
      <c r="F1047" s="5">
        <f>IF('зведена (БАЛАНС) (2)'!F1047&gt;'зведена (БАЛАНС) (2)'!E1047,'зведена (БАЛАНС) (2)'!F1047-'зведена (БАЛАНС) (2)'!E1047,0)</f>
        <v>0</v>
      </c>
    </row>
    <row r="1048" spans="1:6" s="28" customFormat="1" x14ac:dyDescent="0.25">
      <c r="A1048" s="38">
        <v>16</v>
      </c>
      <c r="B1048" s="34" t="s">
        <v>984</v>
      </c>
      <c r="C1048" s="18">
        <v>16547000000</v>
      </c>
      <c r="D1048" s="32" t="s">
        <v>3069</v>
      </c>
      <c r="E1048" s="5">
        <f>IF('зведена (БАЛАНС) (2)'!E1048&gt;'зведена (БАЛАНС) (2)'!F1048,'зведена (БАЛАНС) (2)'!E1048-'зведена (БАЛАНС) (2)'!F1048,0)</f>
        <v>4594.2</v>
      </c>
      <c r="F1048" s="5">
        <f>IF('зведена (БАЛАНС) (2)'!F1048&gt;'зведена (БАЛАНС) (2)'!E1048,'зведена (БАЛАНС) (2)'!F1048-'зведена (БАЛАНС) (2)'!E1048,0)</f>
        <v>0</v>
      </c>
    </row>
    <row r="1049" spans="1:6" s="28" customFormat="1" x14ac:dyDescent="0.25">
      <c r="A1049" s="38">
        <v>16</v>
      </c>
      <c r="B1049" s="34" t="s">
        <v>984</v>
      </c>
      <c r="C1049" s="18">
        <v>16548000000</v>
      </c>
      <c r="D1049" s="32" t="s">
        <v>3070</v>
      </c>
      <c r="E1049" s="5">
        <f>IF('зведена (БАЛАНС) (2)'!E1049&gt;'зведена (БАЛАНС) (2)'!F1049,'зведена (БАЛАНС) (2)'!E1049-'зведена (БАЛАНС) (2)'!F1049,0)</f>
        <v>489.6</v>
      </c>
      <c r="F1049" s="5">
        <f>IF('зведена (БАЛАНС) (2)'!F1049&gt;'зведена (БАЛАНС) (2)'!E1049,'зведена (БАЛАНС) (2)'!F1049-'зведена (БАЛАНС) (2)'!E1049,0)</f>
        <v>0</v>
      </c>
    </row>
    <row r="1050" spans="1:6" s="28" customFormat="1" x14ac:dyDescent="0.25">
      <c r="A1050" s="38">
        <v>16</v>
      </c>
      <c r="B1050" s="34" t="s">
        <v>985</v>
      </c>
      <c r="C1050" s="18">
        <v>16549000000</v>
      </c>
      <c r="D1050" s="32" t="s">
        <v>3071</v>
      </c>
      <c r="E1050" s="5">
        <f>IF('зведена (БАЛАНС) (2)'!E1050&gt;'зведена (БАЛАНС) (2)'!F1050,'зведена (БАЛАНС) (2)'!E1050-'зведена (БАЛАНС) (2)'!F1050,0)</f>
        <v>1073.0999999999999</v>
      </c>
      <c r="F1050" s="5">
        <f>IF('зведена (БАЛАНС) (2)'!F1050&gt;'зведена (БАЛАНС) (2)'!E1050,'зведена (БАЛАНС) (2)'!F1050-'зведена (БАЛАНС) (2)'!E1050,0)</f>
        <v>0</v>
      </c>
    </row>
    <row r="1051" spans="1:6" s="28" customFormat="1" x14ac:dyDescent="0.25">
      <c r="A1051" s="38">
        <v>16</v>
      </c>
      <c r="B1051" s="34" t="s">
        <v>983</v>
      </c>
      <c r="C1051" s="18">
        <v>16550000000</v>
      </c>
      <c r="D1051" s="32" t="s">
        <v>3072</v>
      </c>
      <c r="E1051" s="5">
        <f>IF('зведена (БАЛАНС) (2)'!E1051&gt;'зведена (БАЛАНС) (2)'!F1051,'зведена (БАЛАНС) (2)'!E1051-'зведена (БАЛАНС) (2)'!F1051,0)</f>
        <v>0</v>
      </c>
      <c r="F1051" s="5">
        <f>IF('зведена (БАЛАНС) (2)'!F1051&gt;'зведена (БАЛАНС) (2)'!E1051,'зведена (БАЛАНС) (2)'!F1051-'зведена (БАЛАНС) (2)'!E1051,0)</f>
        <v>0</v>
      </c>
    </row>
    <row r="1052" spans="1:6" s="28" customFormat="1" x14ac:dyDescent="0.25">
      <c r="A1052" s="38">
        <v>16</v>
      </c>
      <c r="B1052" s="34" t="s">
        <v>985</v>
      </c>
      <c r="C1052" s="18">
        <v>16551000000</v>
      </c>
      <c r="D1052" s="32" t="s">
        <v>3073</v>
      </c>
      <c r="E1052" s="5">
        <f>IF('зведена (БАЛАНС) (2)'!E1052&gt;'зведена (БАЛАНС) (2)'!F1052,'зведена (БАЛАНС) (2)'!E1052-'зведена (БАЛАНС) (2)'!F1052,0)</f>
        <v>0</v>
      </c>
      <c r="F1052" s="5">
        <f>IF('зведена (БАЛАНС) (2)'!F1052&gt;'зведена (БАЛАНС) (2)'!E1052,'зведена (БАЛАНС) (2)'!F1052-'зведена (БАЛАНС) (2)'!E1052,0)</f>
        <v>0</v>
      </c>
    </row>
    <row r="1053" spans="1:6" s="28" customFormat="1" x14ac:dyDescent="0.25">
      <c r="A1053" s="38">
        <v>16</v>
      </c>
      <c r="B1053" s="34" t="s">
        <v>985</v>
      </c>
      <c r="C1053" s="18">
        <v>16553000000</v>
      </c>
      <c r="D1053" s="32" t="s">
        <v>3074</v>
      </c>
      <c r="E1053" s="5">
        <f>IF('зведена (БАЛАНС) (2)'!E1053&gt;'зведена (БАЛАНС) (2)'!F1053,'зведена (БАЛАНС) (2)'!E1053-'зведена (БАЛАНС) (2)'!F1053,0)</f>
        <v>0</v>
      </c>
      <c r="F1053" s="5">
        <f>IF('зведена (БАЛАНС) (2)'!F1053&gt;'зведена (БАЛАНС) (2)'!E1053,'зведена (БАЛАНС) (2)'!F1053-'зведена (БАЛАНС) (2)'!E1053,0)</f>
        <v>5862.9</v>
      </c>
    </row>
    <row r="1054" spans="1:6" s="28" customFormat="1" x14ac:dyDescent="0.25">
      <c r="A1054" s="38">
        <v>16</v>
      </c>
      <c r="B1054" s="34" t="s">
        <v>985</v>
      </c>
      <c r="C1054" s="89">
        <v>16554000000</v>
      </c>
      <c r="D1054" s="32" t="s">
        <v>2228</v>
      </c>
      <c r="E1054" s="5">
        <f>IF('зведена (БАЛАНС) (2)'!E1054&gt;'зведена (БАЛАНС) (2)'!F1054,'зведена (БАЛАНС) (2)'!E1054-'зведена (БАЛАНС) (2)'!F1054,0)</f>
        <v>0</v>
      </c>
      <c r="F1054" s="5">
        <f>IF('зведена (БАЛАНС) (2)'!F1054&gt;'зведена (БАЛАНС) (2)'!E1054,'зведена (БАЛАНС) (2)'!F1054-'зведена (БАЛАНС) (2)'!E1054,0)</f>
        <v>2343.8000000000002</v>
      </c>
    </row>
    <row r="1055" spans="1:6" s="27" customFormat="1" x14ac:dyDescent="0.25">
      <c r="A1055" s="38">
        <v>16</v>
      </c>
      <c r="B1055" s="34" t="s">
        <v>984</v>
      </c>
      <c r="C1055" s="18">
        <v>16555000000</v>
      </c>
      <c r="D1055" s="32" t="s">
        <v>2229</v>
      </c>
      <c r="E1055" s="5">
        <f>IF('зведена (БАЛАНС) (2)'!E1055&gt;'зведена (БАЛАНС) (2)'!F1055,'зведена (БАЛАНС) (2)'!E1055-'зведена (БАЛАНС) (2)'!F1055,0)</f>
        <v>0</v>
      </c>
      <c r="F1055" s="5">
        <f>IF('зведена (БАЛАНС) (2)'!F1055&gt;'зведена (БАЛАНС) (2)'!E1055,'зведена (БАЛАНС) (2)'!F1055-'зведена (БАЛАНС) (2)'!E1055,0)</f>
        <v>1792.7</v>
      </c>
    </row>
    <row r="1056" spans="1:6" x14ac:dyDescent="0.25">
      <c r="A1056" s="38">
        <v>16</v>
      </c>
      <c r="B1056" s="34" t="s">
        <v>985</v>
      </c>
      <c r="C1056" s="18">
        <v>16556000000</v>
      </c>
      <c r="D1056" s="32" t="s">
        <v>3075</v>
      </c>
      <c r="E1056" s="5">
        <f>IF('зведена (БАЛАНС) (2)'!E1056&gt;'зведена (БАЛАНС) (2)'!F1056,'зведена (БАЛАНС) (2)'!E1056-'зведена (БАЛАНС) (2)'!F1056,0)</f>
        <v>0</v>
      </c>
      <c r="F1056" s="5">
        <f>IF('зведена (БАЛАНС) (2)'!F1056&gt;'зведена (БАЛАНС) (2)'!E1056,'зведена (БАЛАНС) (2)'!F1056-'зведена (БАЛАНС) (2)'!E1056,0)</f>
        <v>12080.5</v>
      </c>
    </row>
    <row r="1057" spans="1:6" x14ac:dyDescent="0.25">
      <c r="A1057" s="38">
        <v>16</v>
      </c>
      <c r="B1057" s="34" t="s">
        <v>985</v>
      </c>
      <c r="C1057" s="18">
        <v>16557000000</v>
      </c>
      <c r="D1057" s="32" t="s">
        <v>3076</v>
      </c>
      <c r="E1057" s="5">
        <f>IF('зведена (БАЛАНС) (2)'!E1057&gt;'зведена (БАЛАНС) (2)'!F1057,'зведена (БАЛАНС) (2)'!E1057-'зведена (БАЛАНС) (2)'!F1057,0)</f>
        <v>5602.5</v>
      </c>
      <c r="F1057" s="5">
        <f>IF('зведена (БАЛАНС) (2)'!F1057&gt;'зведена (БАЛАНС) (2)'!E1057,'зведена (БАЛАНС) (2)'!F1057-'зведена (БАЛАНС) (2)'!E1057,0)</f>
        <v>0</v>
      </c>
    </row>
    <row r="1058" spans="1:6" x14ac:dyDescent="0.25">
      <c r="A1058" s="38">
        <v>16</v>
      </c>
      <c r="B1058" s="34" t="s">
        <v>983</v>
      </c>
      <c r="C1058" s="18">
        <v>16558000000</v>
      </c>
      <c r="D1058" s="32" t="s">
        <v>2232</v>
      </c>
      <c r="E1058" s="5">
        <f>IF('зведена (БАЛАНС) (2)'!E1058&gt;'зведена (БАЛАНС) (2)'!F1058,'зведена (БАЛАНС) (2)'!E1058-'зведена (БАЛАНС) (2)'!F1058,0)</f>
        <v>0</v>
      </c>
      <c r="F1058" s="5">
        <f>IF('зведена (БАЛАНС) (2)'!F1058&gt;'зведена (БАЛАНС) (2)'!E1058,'зведена (БАЛАНС) (2)'!F1058-'зведена (БАЛАНС) (2)'!E1058,0)</f>
        <v>8635.1</v>
      </c>
    </row>
    <row r="1059" spans="1:6" x14ac:dyDescent="0.25">
      <c r="A1059" s="38">
        <v>16</v>
      </c>
      <c r="B1059" s="34" t="s">
        <v>984</v>
      </c>
      <c r="C1059" s="18">
        <v>16559000000</v>
      </c>
      <c r="D1059" s="32" t="s">
        <v>2233</v>
      </c>
      <c r="E1059" s="5">
        <f>IF('зведена (БАЛАНС) (2)'!E1059&gt;'зведена (БАЛАНС) (2)'!F1059,'зведена (БАЛАНС) (2)'!E1059-'зведена (БАЛАНС) (2)'!F1059,0)</f>
        <v>0</v>
      </c>
      <c r="F1059" s="5">
        <f>IF('зведена (БАЛАНС) (2)'!F1059&gt;'зведена (БАЛАНС) (2)'!E1059,'зведена (БАЛАНС) (2)'!F1059-'зведена (БАЛАНС) (2)'!E1059,0)</f>
        <v>19726.7</v>
      </c>
    </row>
    <row r="1060" spans="1:6" x14ac:dyDescent="0.25">
      <c r="A1060" s="38">
        <v>16</v>
      </c>
      <c r="B1060" s="34" t="s">
        <v>983</v>
      </c>
      <c r="C1060" s="18">
        <v>16560000000</v>
      </c>
      <c r="D1060" s="32" t="s">
        <v>2234</v>
      </c>
      <c r="E1060" s="5">
        <f>IF('зведена (БАЛАНС) (2)'!E1060&gt;'зведена (БАЛАНС) (2)'!F1060,'зведена (БАЛАНС) (2)'!E1060-'зведена (БАЛАНС) (2)'!F1060,0)</f>
        <v>0</v>
      </c>
      <c r="F1060" s="5">
        <f>IF('зведена (БАЛАНС) (2)'!F1060&gt;'зведена (БАЛАНС) (2)'!E1060,'зведена (БАЛАНС) (2)'!F1060-'зведена (БАЛАНС) (2)'!E1060,0)</f>
        <v>0</v>
      </c>
    </row>
    <row r="1061" spans="1:6" x14ac:dyDescent="0.25">
      <c r="A1061" s="38">
        <v>16</v>
      </c>
      <c r="B1061" s="34" t="s">
        <v>983</v>
      </c>
      <c r="C1061" s="18">
        <v>16561000000</v>
      </c>
      <c r="D1061" s="32" t="s">
        <v>2235</v>
      </c>
      <c r="E1061" s="5">
        <f>IF('зведена (БАЛАНС) (2)'!E1061&gt;'зведена (БАЛАНС) (2)'!F1061,'зведена (БАЛАНС) (2)'!E1061-'зведена (БАЛАНС) (2)'!F1061,0)</f>
        <v>0</v>
      </c>
      <c r="F1061" s="5">
        <f>IF('зведена (БАЛАНС) (2)'!F1061&gt;'зведена (БАЛАНС) (2)'!E1061,'зведена (БАЛАНС) (2)'!F1061-'зведена (БАЛАНС) (2)'!E1061,0)</f>
        <v>9782.9</v>
      </c>
    </row>
    <row r="1062" spans="1:6" x14ac:dyDescent="0.25">
      <c r="A1062" s="38">
        <v>16</v>
      </c>
      <c r="B1062" s="34" t="s">
        <v>985</v>
      </c>
      <c r="C1062" s="18">
        <v>16562000000</v>
      </c>
      <c r="D1062" s="32" t="s">
        <v>2236</v>
      </c>
      <c r="E1062" s="5">
        <f>IF('зведена (БАЛАНС) (2)'!E1062&gt;'зведена (БАЛАНС) (2)'!F1062,'зведена (БАЛАНС) (2)'!E1062-'зведена (БАЛАНС) (2)'!F1062,0)</f>
        <v>1003.7</v>
      </c>
      <c r="F1062" s="5">
        <f>IF('зведена (БАЛАНС) (2)'!F1062&gt;'зведена (БАЛАНС) (2)'!E1062,'зведена (БАЛАНС) (2)'!F1062-'зведена (БАЛАНС) (2)'!E1062,0)</f>
        <v>0</v>
      </c>
    </row>
    <row r="1063" spans="1:6" x14ac:dyDescent="0.25">
      <c r="A1063" s="38">
        <v>16</v>
      </c>
      <c r="B1063" s="34" t="s">
        <v>985</v>
      </c>
      <c r="C1063" s="18">
        <v>16563000000</v>
      </c>
      <c r="D1063" s="32" t="s">
        <v>2237</v>
      </c>
      <c r="E1063" s="5">
        <f>IF('зведена (БАЛАНС) (2)'!E1063&gt;'зведена (БАЛАНС) (2)'!F1063,'зведена (БАЛАНС) (2)'!E1063-'зведена (БАЛАНС) (2)'!F1063,0)</f>
        <v>1295.5999999999999</v>
      </c>
      <c r="F1063" s="5">
        <f>IF('зведена (БАЛАНС) (2)'!F1063&gt;'зведена (БАЛАНС) (2)'!E1063,'зведена (БАЛАНС) (2)'!F1063-'зведена (БАЛАНС) (2)'!E1063,0)</f>
        <v>0</v>
      </c>
    </row>
    <row r="1064" spans="1:6" x14ac:dyDescent="0.25">
      <c r="A1064" s="38">
        <v>16</v>
      </c>
      <c r="B1064" s="34" t="s">
        <v>986</v>
      </c>
      <c r="C1064" s="18">
        <v>16564000000</v>
      </c>
      <c r="D1064" s="32" t="s">
        <v>2238</v>
      </c>
      <c r="E1064" s="5">
        <f>IF('зведена (БАЛАНС) (2)'!E1064&gt;'зведена (БАЛАНС) (2)'!F1064,'зведена (БАЛАНС) (2)'!E1064-'зведена (БАЛАНС) (2)'!F1064,0)</f>
        <v>97464.7</v>
      </c>
      <c r="F1064" s="5">
        <f>IF('зведена (БАЛАНС) (2)'!F1064&gt;'зведена (БАЛАНС) (2)'!E1064,'зведена (БАЛАНС) (2)'!F1064-'зведена (БАЛАНС) (2)'!E1064,0)</f>
        <v>0</v>
      </c>
    </row>
    <row r="1065" spans="1:6" x14ac:dyDescent="0.25">
      <c r="A1065" s="38">
        <v>16</v>
      </c>
      <c r="B1065" s="34" t="s">
        <v>986</v>
      </c>
      <c r="C1065" s="18">
        <v>16565000000</v>
      </c>
      <c r="D1065" s="32" t="s">
        <v>2239</v>
      </c>
      <c r="E1065" s="5">
        <f>IF('зведена (БАЛАНС) (2)'!E1065&gt;'зведена (БАЛАНС) (2)'!F1065,'зведена (БАЛАНС) (2)'!E1065-'зведена (БАЛАНС) (2)'!F1065,0)</f>
        <v>0</v>
      </c>
      <c r="F1065" s="5">
        <f>IF('зведена (БАЛАНС) (2)'!F1065&gt;'зведена (БАЛАНС) (2)'!E1065,'зведена (БАЛАНС) (2)'!F1065-'зведена (БАЛАНС) (2)'!E1065,0)</f>
        <v>9880.2999999999993</v>
      </c>
    </row>
    <row r="1066" spans="1:6" x14ac:dyDescent="0.25">
      <c r="A1066" s="38">
        <v>16</v>
      </c>
      <c r="B1066" s="34" t="s">
        <v>984</v>
      </c>
      <c r="C1066" s="18">
        <v>16566000000</v>
      </c>
      <c r="D1066" s="32" t="s">
        <v>3077</v>
      </c>
      <c r="E1066" s="5">
        <f>IF('зведена (БАЛАНС) (2)'!E1066&gt;'зведена (БАЛАНС) (2)'!F1066,'зведена (БАЛАНС) (2)'!E1066-'зведена (БАЛАНС) (2)'!F1066,0)</f>
        <v>0</v>
      </c>
      <c r="F1066" s="5">
        <f>IF('зведена (БАЛАНС) (2)'!F1066&gt;'зведена (БАЛАНС) (2)'!E1066,'зведена (БАЛАНС) (2)'!F1066-'зведена (БАЛАНС) (2)'!E1066,0)</f>
        <v>1593.7</v>
      </c>
    </row>
    <row r="1067" spans="1:6" x14ac:dyDescent="0.25">
      <c r="A1067" s="38">
        <v>16</v>
      </c>
      <c r="B1067" s="34" t="s">
        <v>984</v>
      </c>
      <c r="C1067" s="18">
        <v>16567000000</v>
      </c>
      <c r="D1067" s="32" t="s">
        <v>2823</v>
      </c>
      <c r="E1067" s="5">
        <f>IF('зведена (БАЛАНС) (2)'!E1067&gt;'зведена (БАЛАНС) (2)'!F1067,'зведена (БАЛАНС) (2)'!E1067-'зведена (БАЛАНС) (2)'!F1067,0)</f>
        <v>0</v>
      </c>
      <c r="F1067" s="5">
        <f>IF('зведена (БАЛАНС) (2)'!F1067&gt;'зведена (БАЛАНС) (2)'!E1067,'зведена (БАЛАНС) (2)'!F1067-'зведена (БАЛАНС) (2)'!E1067,0)</f>
        <v>1244.8</v>
      </c>
    </row>
    <row r="1068" spans="1:6" x14ac:dyDescent="0.25">
      <c r="A1068" s="38">
        <v>16</v>
      </c>
      <c r="B1068" s="34" t="s">
        <v>986</v>
      </c>
      <c r="C1068" s="18">
        <v>16568000000</v>
      </c>
      <c r="D1068" s="32" t="s">
        <v>2241</v>
      </c>
      <c r="E1068" s="5">
        <f>IF('зведена (БАЛАНС) (2)'!E1068&gt;'зведена (БАЛАНС) (2)'!F1068,'зведена (БАЛАНС) (2)'!E1068-'зведена (БАЛАНС) (2)'!F1068,0)</f>
        <v>0</v>
      </c>
      <c r="F1068" s="5">
        <f>IF('зведена (БАЛАНС) (2)'!F1068&gt;'зведена (БАЛАНС) (2)'!E1068,'зведена (БАЛАНС) (2)'!F1068-'зведена (БАЛАНС) (2)'!E1068,0)</f>
        <v>0</v>
      </c>
    </row>
    <row r="1069" spans="1:6" x14ac:dyDescent="0.25">
      <c r="A1069" s="38">
        <v>16</v>
      </c>
      <c r="B1069" s="34" t="s">
        <v>985</v>
      </c>
      <c r="C1069" s="18">
        <v>16569000000</v>
      </c>
      <c r="D1069" s="32" t="s">
        <v>2242</v>
      </c>
      <c r="E1069" s="5">
        <f>IF('зведена (БАЛАНС) (2)'!E1069&gt;'зведена (БАЛАНС) (2)'!F1069,'зведена (БАЛАНС) (2)'!E1069-'зведена (БАЛАНС) (2)'!F1069,0)</f>
        <v>0</v>
      </c>
      <c r="F1069" s="5">
        <f>IF('зведена (БАЛАНС) (2)'!F1069&gt;'зведена (БАЛАНС) (2)'!E1069,'зведена (БАЛАНС) (2)'!F1069-'зведена (БАЛАНС) (2)'!E1069,0)</f>
        <v>0</v>
      </c>
    </row>
    <row r="1070" spans="1:6" x14ac:dyDescent="0.25">
      <c r="A1070" s="38">
        <v>16</v>
      </c>
      <c r="B1070" s="34" t="s">
        <v>986</v>
      </c>
      <c r="C1070" s="18">
        <v>16570000000</v>
      </c>
      <c r="D1070" s="32" t="s">
        <v>2243</v>
      </c>
      <c r="E1070" s="5">
        <f>IF('зведена (БАЛАНС) (2)'!E1070&gt;'зведена (БАЛАНС) (2)'!F1070,'зведена (БАЛАНС) (2)'!E1070-'зведена (БАЛАНС) (2)'!F1070,0)</f>
        <v>288621.59999999998</v>
      </c>
      <c r="F1070" s="5">
        <f>IF('зведена (БАЛАНС) (2)'!F1070&gt;'зведена (БАЛАНС) (2)'!E1070,'зведена (БАЛАНС) (2)'!F1070-'зведена (БАЛАНС) (2)'!E1070,0)</f>
        <v>0</v>
      </c>
    </row>
    <row r="1071" spans="1:6" x14ac:dyDescent="0.25">
      <c r="A1071" s="38">
        <v>16</v>
      </c>
      <c r="B1071" s="34" t="s">
        <v>983</v>
      </c>
      <c r="C1071" s="18">
        <v>16571000000</v>
      </c>
      <c r="D1071" s="32" t="s">
        <v>2244</v>
      </c>
      <c r="E1071" s="5">
        <f>IF('зведена (БАЛАНС) (2)'!E1071&gt;'зведена (БАЛАНС) (2)'!F1071,'зведена (БАЛАНС) (2)'!E1071-'зведена (БАЛАНС) (2)'!F1071,0)</f>
        <v>0</v>
      </c>
      <c r="F1071" s="5">
        <f>IF('зведена (БАЛАНС) (2)'!F1071&gt;'зведена (БАЛАНС) (2)'!E1071,'зведена (БАЛАНС) (2)'!F1071-'зведена (БАЛАНС) (2)'!E1071,0)</f>
        <v>0</v>
      </c>
    </row>
    <row r="1072" spans="1:6" x14ac:dyDescent="0.25">
      <c r="A1072" s="38">
        <v>16</v>
      </c>
      <c r="B1072" s="34" t="s">
        <v>985</v>
      </c>
      <c r="C1072" s="18">
        <v>16572000000</v>
      </c>
      <c r="D1072" s="32" t="s">
        <v>2245</v>
      </c>
      <c r="E1072" s="5">
        <f>IF('зведена (БАЛАНС) (2)'!E1072&gt;'зведена (БАЛАНС) (2)'!F1072,'зведена (БАЛАНС) (2)'!E1072-'зведена (БАЛАНС) (2)'!F1072,0)</f>
        <v>0</v>
      </c>
      <c r="F1072" s="5">
        <f>IF('зведена (БАЛАНС) (2)'!F1072&gt;'зведена (БАЛАНС) (2)'!E1072,'зведена (БАЛАНС) (2)'!F1072-'зведена (БАЛАНС) (2)'!E1072,0)</f>
        <v>0</v>
      </c>
    </row>
    <row r="1073" spans="1:6" x14ac:dyDescent="0.25">
      <c r="A1073" s="36">
        <v>17</v>
      </c>
      <c r="B1073" s="17" t="s">
        <v>7</v>
      </c>
      <c r="C1073" s="17" t="s">
        <v>802</v>
      </c>
      <c r="D1073" s="11" t="s">
        <v>19</v>
      </c>
      <c r="E1073" s="11">
        <f>E1074+E1075+E1080</f>
        <v>196279.59999999998</v>
      </c>
      <c r="F1073" s="11">
        <f>F1074+F1075+F1080</f>
        <v>937142.89999999991</v>
      </c>
    </row>
    <row r="1074" spans="1:6" x14ac:dyDescent="0.25">
      <c r="A1074" s="38">
        <v>17</v>
      </c>
      <c r="B1074" s="34" t="s">
        <v>6</v>
      </c>
      <c r="C1074" s="18" t="s">
        <v>157</v>
      </c>
      <c r="D1074" s="32" t="s">
        <v>855</v>
      </c>
      <c r="E1074" s="5">
        <f>IF('зведена (БАЛАНС) (2)'!E1074&gt;'зведена (БАЛАНС) (2)'!F1074,'зведена (БАЛАНС) (2)'!E1074-'зведена (БАЛАНС) (2)'!F1074,0)</f>
        <v>0</v>
      </c>
      <c r="F1074" s="5">
        <f>IF('зведена (БАЛАНС) (2)'!F1074&gt;'зведена (БАЛАНС) (2)'!E1074,'зведена (БАЛАНС) (2)'!F1074-'зведена (БАЛАНС) (2)'!E1074,0)</f>
        <v>125913.2</v>
      </c>
    </row>
    <row r="1075" spans="1:6" x14ac:dyDescent="0.25">
      <c r="A1075" s="37">
        <v>17</v>
      </c>
      <c r="B1075" s="19" t="s">
        <v>5</v>
      </c>
      <c r="C1075" s="19" t="s">
        <v>803</v>
      </c>
      <c r="D1075" s="7" t="s">
        <v>2810</v>
      </c>
      <c r="E1075" s="7">
        <f>SUM(E1076:E1079)</f>
        <v>0</v>
      </c>
      <c r="F1075" s="7">
        <f>SUM(F1076:F1079)</f>
        <v>0</v>
      </c>
    </row>
    <row r="1076" spans="1:6" x14ac:dyDescent="0.25">
      <c r="A1076" s="38">
        <v>17</v>
      </c>
      <c r="B1076" s="34" t="s">
        <v>4</v>
      </c>
      <c r="C1076" s="18" t="s">
        <v>158</v>
      </c>
      <c r="D1076" s="32" t="s">
        <v>941</v>
      </c>
      <c r="E1076" s="5">
        <f>IF('зведена (БАЛАНС) (2)'!E1076&gt;'зведена (БАЛАНС) (2)'!F1076,'зведена (БАЛАНС) (2)'!E1076-'зведена (БАЛАНС) (2)'!F1076,0)</f>
        <v>0</v>
      </c>
      <c r="F1076" s="5">
        <f>IF('зведена (БАЛАНС) (2)'!F1076&gt;'зведена (БАЛАНС) (2)'!E1076,'зведена (БАЛАНС) (2)'!F1076-'зведена (БАЛАНС) (2)'!E1076,0)</f>
        <v>0</v>
      </c>
    </row>
    <row r="1077" spans="1:6" x14ac:dyDescent="0.25">
      <c r="A1077" s="38">
        <v>17</v>
      </c>
      <c r="B1077" s="34" t="s">
        <v>4</v>
      </c>
      <c r="C1077" s="18" t="s">
        <v>159</v>
      </c>
      <c r="D1077" s="32" t="s">
        <v>942</v>
      </c>
      <c r="E1077" s="5">
        <f>IF('зведена (БАЛАНС) (2)'!E1077&gt;'зведена (БАЛАНС) (2)'!F1077,'зведена (БАЛАНС) (2)'!E1077-'зведена (БАЛАНС) (2)'!F1077,0)</f>
        <v>0</v>
      </c>
      <c r="F1077" s="5">
        <f>IF('зведена (БАЛАНС) (2)'!F1077&gt;'зведена (БАЛАНС) (2)'!E1077,'зведена (БАЛАНС) (2)'!F1077-'зведена (БАЛАНС) (2)'!E1077,0)</f>
        <v>0</v>
      </c>
    </row>
    <row r="1078" spans="1:6" x14ac:dyDescent="0.25">
      <c r="A1078" s="38">
        <v>17</v>
      </c>
      <c r="B1078" s="34" t="s">
        <v>4</v>
      </c>
      <c r="C1078" s="18" t="s">
        <v>160</v>
      </c>
      <c r="D1078" s="32" t="s">
        <v>943</v>
      </c>
      <c r="E1078" s="5">
        <f>IF('зведена (БАЛАНС) (2)'!E1078&gt;'зведена (БАЛАНС) (2)'!F1078,'зведена (БАЛАНС) (2)'!E1078-'зведена (БАЛАНС) (2)'!F1078,0)</f>
        <v>0</v>
      </c>
      <c r="F1078" s="5">
        <f>IF('зведена (БАЛАНС) (2)'!F1078&gt;'зведена (БАЛАНС) (2)'!E1078,'зведена (БАЛАНС) (2)'!F1078-'зведена (БАЛАНС) (2)'!E1078,0)</f>
        <v>0</v>
      </c>
    </row>
    <row r="1079" spans="1:6" x14ac:dyDescent="0.25">
      <c r="A1079" s="38">
        <v>17</v>
      </c>
      <c r="B1079" s="34" t="s">
        <v>4</v>
      </c>
      <c r="C1079" s="18">
        <v>17317200000</v>
      </c>
      <c r="D1079" s="32" t="s">
        <v>2246</v>
      </c>
      <c r="E1079" s="5">
        <f>IF('зведена (БАЛАНС) (2)'!E1079&gt;'зведена (БАЛАНС) (2)'!F1079,'зведена (БАЛАНС) (2)'!E1079-'зведена (БАЛАНС) (2)'!F1079,0)</f>
        <v>0</v>
      </c>
      <c r="F1079" s="5">
        <f>IF('зведена (БАЛАНС) (2)'!F1079&gt;'зведена (БАЛАНС) (2)'!E1079,'зведена (БАЛАНС) (2)'!F1079-'зведена (БАЛАНС) (2)'!E1079,0)</f>
        <v>0</v>
      </c>
    </row>
    <row r="1080" spans="1:6" x14ac:dyDescent="0.25">
      <c r="A1080" s="37">
        <v>17</v>
      </c>
      <c r="B1080" s="19" t="s">
        <v>28</v>
      </c>
      <c r="C1080" s="19" t="s">
        <v>804</v>
      </c>
      <c r="D1080" s="20" t="s">
        <v>2783</v>
      </c>
      <c r="E1080" s="7">
        <f>SUM(E1081:E1144)</f>
        <v>196279.59999999998</v>
      </c>
      <c r="F1080" s="7">
        <f>SUM(F1081:F1144)</f>
        <v>811229.7</v>
      </c>
    </row>
    <row r="1081" spans="1:6" s="28" customFormat="1" x14ac:dyDescent="0.25">
      <c r="A1081" s="38">
        <v>17</v>
      </c>
      <c r="B1081" s="34" t="s">
        <v>984</v>
      </c>
      <c r="C1081" s="18" t="s">
        <v>161</v>
      </c>
      <c r="D1081" s="32" t="s">
        <v>2247</v>
      </c>
      <c r="E1081" s="5">
        <f>IF('зведена (БАЛАНС) (2)'!E1081&gt;'зведена (БАЛАНС) (2)'!F1081,'зведена (БАЛАНС) (2)'!E1081-'зведена (БАЛАНС) (2)'!F1081,0)</f>
        <v>0</v>
      </c>
      <c r="F1081" s="5">
        <f>IF('зведена (БАЛАНС) (2)'!F1081&gt;'зведена (БАЛАНС) (2)'!E1081,'зведена (БАЛАНС) (2)'!F1081-'зведена (БАЛАНС) (2)'!E1081,0)</f>
        <v>7616.7</v>
      </c>
    </row>
    <row r="1082" spans="1:6" s="28" customFormat="1" x14ac:dyDescent="0.25">
      <c r="A1082" s="38">
        <v>17</v>
      </c>
      <c r="B1082" s="34" t="s">
        <v>984</v>
      </c>
      <c r="C1082" s="18" t="s">
        <v>162</v>
      </c>
      <c r="D1082" s="32" t="s">
        <v>2248</v>
      </c>
      <c r="E1082" s="5">
        <f>IF('зведена (БАЛАНС) (2)'!E1082&gt;'зведена (БАЛАНС) (2)'!F1082,'зведена (БАЛАНС) (2)'!E1082-'зведена (БАЛАНС) (2)'!F1082,0)</f>
        <v>0</v>
      </c>
      <c r="F1082" s="5">
        <f>IF('зведена (БАЛАНС) (2)'!F1082&gt;'зведена (БАЛАНС) (2)'!E1082,'зведена (БАЛАНС) (2)'!F1082-'зведена (БАЛАНС) (2)'!E1082,0)</f>
        <v>6127</v>
      </c>
    </row>
    <row r="1083" spans="1:6" s="28" customFormat="1" x14ac:dyDescent="0.25">
      <c r="A1083" s="38">
        <v>17</v>
      </c>
      <c r="B1083" s="34" t="s">
        <v>985</v>
      </c>
      <c r="C1083" s="18" t="s">
        <v>163</v>
      </c>
      <c r="D1083" s="32" t="s">
        <v>2249</v>
      </c>
      <c r="E1083" s="5">
        <f>IF('зведена (БАЛАНС) (2)'!E1083&gt;'зведена (БАЛАНС) (2)'!F1083,'зведена (БАЛАНС) (2)'!E1083-'зведена (БАЛАНС) (2)'!F1083,0)</f>
        <v>0</v>
      </c>
      <c r="F1083" s="5">
        <f>IF('зведена (БАЛАНС) (2)'!F1083&gt;'зведена (БАЛАНС) (2)'!E1083,'зведена (БАЛАНС) (2)'!F1083-'зведена (БАЛАНС) (2)'!E1083,0)</f>
        <v>0</v>
      </c>
    </row>
    <row r="1084" spans="1:6" s="28" customFormat="1" x14ac:dyDescent="0.25">
      <c r="A1084" s="38">
        <v>17</v>
      </c>
      <c r="B1084" s="34" t="s">
        <v>984</v>
      </c>
      <c r="C1084" s="18" t="s">
        <v>164</v>
      </c>
      <c r="D1084" s="32" t="s">
        <v>2250</v>
      </c>
      <c r="E1084" s="5">
        <f>IF('зведена (БАЛАНС) (2)'!E1084&gt;'зведена (БАЛАНС) (2)'!F1084,'зведена (БАЛАНС) (2)'!E1084-'зведена (БАЛАНС) (2)'!F1084,0)</f>
        <v>0</v>
      </c>
      <c r="F1084" s="5">
        <f>IF('зведена (БАЛАНС) (2)'!F1084&gt;'зведена (БАЛАНС) (2)'!E1084,'зведена (БАЛАНС) (2)'!F1084-'зведена (БАЛАНС) (2)'!E1084,0)</f>
        <v>8750.7999999999993</v>
      </c>
    </row>
    <row r="1085" spans="1:6" s="28" customFormat="1" x14ac:dyDescent="0.25">
      <c r="A1085" s="38">
        <v>17</v>
      </c>
      <c r="B1085" s="34" t="s">
        <v>984</v>
      </c>
      <c r="C1085" s="18" t="s">
        <v>165</v>
      </c>
      <c r="D1085" s="32" t="s">
        <v>2251</v>
      </c>
      <c r="E1085" s="5">
        <f>IF('зведена (БАЛАНС) (2)'!E1085&gt;'зведена (БАЛАНС) (2)'!F1085,'зведена (БАЛАНС) (2)'!E1085-'зведена (БАЛАНС) (2)'!F1085,0)</f>
        <v>0</v>
      </c>
      <c r="F1085" s="5">
        <f>IF('зведена (БАЛАНС) (2)'!F1085&gt;'зведена (БАЛАНС) (2)'!E1085,'зведена (БАЛАНС) (2)'!F1085-'зведена (БАЛАНС) (2)'!E1085,0)</f>
        <v>1067.3</v>
      </c>
    </row>
    <row r="1086" spans="1:6" s="28" customFormat="1" x14ac:dyDescent="0.25">
      <c r="A1086" s="38">
        <v>17</v>
      </c>
      <c r="B1086" s="34" t="s">
        <v>983</v>
      </c>
      <c r="C1086" s="18" t="s">
        <v>288</v>
      </c>
      <c r="D1086" s="32" t="s">
        <v>2252</v>
      </c>
      <c r="E1086" s="5">
        <f>IF('зведена (БАЛАНС) (2)'!E1086&gt;'зведена (БАЛАНС) (2)'!F1086,'зведена (БАЛАНС) (2)'!E1086-'зведена (БАЛАНС) (2)'!F1086,0)</f>
        <v>0</v>
      </c>
      <c r="F1086" s="5">
        <f>IF('зведена (БАЛАНС) (2)'!F1086&gt;'зведена (БАЛАНС) (2)'!E1086,'зведена (БАЛАНС) (2)'!F1086-'зведена (БАЛАНС) (2)'!E1086,0)</f>
        <v>7401.8</v>
      </c>
    </row>
    <row r="1087" spans="1:6" s="28" customFormat="1" x14ac:dyDescent="0.25">
      <c r="A1087" s="38">
        <v>17</v>
      </c>
      <c r="B1087" s="34" t="s">
        <v>984</v>
      </c>
      <c r="C1087" s="18" t="s">
        <v>289</v>
      </c>
      <c r="D1087" s="32" t="s">
        <v>2253</v>
      </c>
      <c r="E1087" s="5">
        <f>IF('зведена (БАЛАНС) (2)'!E1087&gt;'зведена (БАЛАНС) (2)'!F1087,'зведена (БАЛАНС) (2)'!E1087-'зведена (БАЛАНС) (2)'!F1087,0)</f>
        <v>0</v>
      </c>
      <c r="F1087" s="5">
        <f>IF('зведена (БАЛАНС) (2)'!F1087&gt;'зведена (БАЛАНС) (2)'!E1087,'зведена (БАЛАНС) (2)'!F1087-'зведена (БАЛАНС) (2)'!E1087,0)</f>
        <v>156.80000000000001</v>
      </c>
    </row>
    <row r="1088" spans="1:6" s="28" customFormat="1" x14ac:dyDescent="0.25">
      <c r="A1088" s="38">
        <v>17</v>
      </c>
      <c r="B1088" s="34" t="s">
        <v>984</v>
      </c>
      <c r="C1088" s="18" t="s">
        <v>290</v>
      </c>
      <c r="D1088" s="32" t="s">
        <v>2097</v>
      </c>
      <c r="E1088" s="5">
        <f>IF('зведена (БАЛАНС) (2)'!E1088&gt;'зведена (БАЛАНС) (2)'!F1088,'зведена (БАЛАНС) (2)'!E1088-'зведена (БАЛАНС) (2)'!F1088,0)</f>
        <v>0</v>
      </c>
      <c r="F1088" s="5">
        <f>IF('зведена (БАЛАНС) (2)'!F1088&gt;'зведена (БАЛАНС) (2)'!E1088,'зведена (БАЛАНС) (2)'!F1088-'зведена (БАЛАНС) (2)'!E1088,0)</f>
        <v>7431.3</v>
      </c>
    </row>
    <row r="1089" spans="1:6" s="28" customFormat="1" x14ac:dyDescent="0.25">
      <c r="A1089" s="38">
        <v>17</v>
      </c>
      <c r="B1089" s="34" t="s">
        <v>984</v>
      </c>
      <c r="C1089" s="18" t="s">
        <v>294</v>
      </c>
      <c r="D1089" s="32" t="s">
        <v>2255</v>
      </c>
      <c r="E1089" s="5">
        <f>IF('зведена (БАЛАНС) (2)'!E1089&gt;'зведена (БАЛАНС) (2)'!F1089,'зведена (БАЛАНС) (2)'!E1089-'зведена (БАЛАНС) (2)'!F1089,0)</f>
        <v>0</v>
      </c>
      <c r="F1089" s="5">
        <f>IF('зведена (БАЛАНС) (2)'!F1089&gt;'зведена (БАЛАНС) (2)'!E1089,'зведена (БАЛАНС) (2)'!F1089-'зведена (БАЛАНС) (2)'!E1089,0)</f>
        <v>9741</v>
      </c>
    </row>
    <row r="1090" spans="1:6" s="28" customFormat="1" x14ac:dyDescent="0.25">
      <c r="A1090" s="38">
        <v>17</v>
      </c>
      <c r="B1090" s="34" t="s">
        <v>984</v>
      </c>
      <c r="C1090" s="18" t="s">
        <v>295</v>
      </c>
      <c r="D1090" s="32" t="s">
        <v>2256</v>
      </c>
      <c r="E1090" s="5">
        <f>IF('зведена (БАЛАНС) (2)'!E1090&gt;'зведена (БАЛАНС) (2)'!F1090,'зведена (БАЛАНС) (2)'!E1090-'зведена (БАЛАНС) (2)'!F1090,0)</f>
        <v>0</v>
      </c>
      <c r="F1090" s="5">
        <f>IF('зведена (БАЛАНС) (2)'!F1090&gt;'зведена (БАЛАНС) (2)'!E1090,'зведена (БАЛАНС) (2)'!F1090-'зведена (БАЛАНС) (2)'!E1090,0)</f>
        <v>9595.6</v>
      </c>
    </row>
    <row r="1091" spans="1:6" s="28" customFormat="1" x14ac:dyDescent="0.25">
      <c r="A1091" s="38">
        <v>17</v>
      </c>
      <c r="B1091" s="34" t="s">
        <v>985</v>
      </c>
      <c r="C1091" s="18" t="s">
        <v>300</v>
      </c>
      <c r="D1091" s="32" t="s">
        <v>2257</v>
      </c>
      <c r="E1091" s="5">
        <f>IF('зведена (БАЛАНС) (2)'!E1091&gt;'зведена (БАЛАНС) (2)'!F1091,'зведена (БАЛАНС) (2)'!E1091-'зведена (БАЛАНС) (2)'!F1091,0)</f>
        <v>0</v>
      </c>
      <c r="F1091" s="5">
        <f>IF('зведена (БАЛАНС) (2)'!F1091&gt;'зведена (БАЛАНС) (2)'!E1091,'зведена (БАЛАНС) (2)'!F1091-'зведена (БАЛАНС) (2)'!E1091,0)</f>
        <v>935.5</v>
      </c>
    </row>
    <row r="1092" spans="1:6" s="28" customFormat="1" x14ac:dyDescent="0.25">
      <c r="A1092" s="38">
        <v>17</v>
      </c>
      <c r="B1092" s="34" t="s">
        <v>984</v>
      </c>
      <c r="C1092" s="18" t="s">
        <v>301</v>
      </c>
      <c r="D1092" s="32" t="s">
        <v>2258</v>
      </c>
      <c r="E1092" s="5">
        <f>IF('зведена (БАЛАНС) (2)'!E1092&gt;'зведена (БАЛАНС) (2)'!F1092,'зведена (БАЛАНС) (2)'!E1092-'зведена (БАЛАНС) (2)'!F1092,0)</f>
        <v>0</v>
      </c>
      <c r="F1092" s="5">
        <f>IF('зведена (БАЛАНС) (2)'!F1092&gt;'зведена (БАЛАНС) (2)'!E1092,'зведена (БАЛАНС) (2)'!F1092-'зведена (БАЛАНС) (2)'!E1092,0)</f>
        <v>7802.3</v>
      </c>
    </row>
    <row r="1093" spans="1:6" s="28" customFormat="1" x14ac:dyDescent="0.25">
      <c r="A1093" s="38">
        <v>17</v>
      </c>
      <c r="B1093" s="34" t="s">
        <v>984</v>
      </c>
      <c r="C1093" s="18" t="s">
        <v>302</v>
      </c>
      <c r="D1093" s="32" t="s">
        <v>2259</v>
      </c>
      <c r="E1093" s="5">
        <f>IF('зведена (БАЛАНС) (2)'!E1093&gt;'зведена (БАЛАНС) (2)'!F1093,'зведена (БАЛАНС) (2)'!E1093-'зведена (БАЛАНС) (2)'!F1093,0)</f>
        <v>0</v>
      </c>
      <c r="F1093" s="5">
        <f>IF('зведена (БАЛАНС) (2)'!F1093&gt;'зведена (БАЛАНС) (2)'!E1093,'зведена (БАЛАНС) (2)'!F1093-'зведена (БАЛАНС) (2)'!E1093,0)</f>
        <v>9042.7999999999993</v>
      </c>
    </row>
    <row r="1094" spans="1:6" s="28" customFormat="1" x14ac:dyDescent="0.25">
      <c r="A1094" s="38">
        <v>17</v>
      </c>
      <c r="B1094" s="34" t="s">
        <v>985</v>
      </c>
      <c r="C1094" s="18" t="s">
        <v>407</v>
      </c>
      <c r="D1094" s="32" t="s">
        <v>3078</v>
      </c>
      <c r="E1094" s="5">
        <f>IF('зведена (БАЛАНС) (2)'!E1094&gt;'зведена (БАЛАНС) (2)'!F1094,'зведена (БАЛАНС) (2)'!E1094-'зведена (БАЛАНС) (2)'!F1094,0)</f>
        <v>0</v>
      </c>
      <c r="F1094" s="5">
        <f>IF('зведена (БАЛАНС) (2)'!F1094&gt;'зведена (БАЛАНС) (2)'!E1094,'зведена (БАЛАНС) (2)'!F1094-'зведена (БАЛАНС) (2)'!E1094,0)</f>
        <v>15547.2</v>
      </c>
    </row>
    <row r="1095" spans="1:6" s="28" customFormat="1" x14ac:dyDescent="0.25">
      <c r="A1095" s="38">
        <v>17</v>
      </c>
      <c r="B1095" s="34" t="s">
        <v>984</v>
      </c>
      <c r="C1095" s="18" t="s">
        <v>408</v>
      </c>
      <c r="D1095" s="32" t="s">
        <v>2261</v>
      </c>
      <c r="E1095" s="5">
        <f>IF('зведена (БАЛАНС) (2)'!E1095&gt;'зведена (БАЛАНС) (2)'!F1095,'зведена (БАЛАНС) (2)'!E1095-'зведена (БАЛАНС) (2)'!F1095,0)</f>
        <v>0</v>
      </c>
      <c r="F1095" s="5">
        <f>IF('зведена (БАЛАНС) (2)'!F1095&gt;'зведена (БАЛАНС) (2)'!E1095,'зведена (БАЛАНС) (2)'!F1095-'зведена (БАЛАНС) (2)'!E1095,0)</f>
        <v>4625.1000000000004</v>
      </c>
    </row>
    <row r="1096" spans="1:6" s="28" customFormat="1" x14ac:dyDescent="0.25">
      <c r="A1096" s="38">
        <v>17</v>
      </c>
      <c r="B1096" s="34" t="s">
        <v>984</v>
      </c>
      <c r="C1096" s="18" t="s">
        <v>409</v>
      </c>
      <c r="D1096" s="32" t="s">
        <v>2262</v>
      </c>
      <c r="E1096" s="5">
        <f>IF('зведена (БАЛАНС) (2)'!E1096&gt;'зведена (БАЛАНС) (2)'!F1096,'зведена (БАЛАНС) (2)'!E1096-'зведена (БАЛАНС) (2)'!F1096,0)</f>
        <v>0</v>
      </c>
      <c r="F1096" s="5">
        <f>IF('зведена (БАЛАНС) (2)'!F1096&gt;'зведена (БАЛАНС) (2)'!E1096,'зведена (БАЛАНС) (2)'!F1096-'зведена (БАЛАНС) (2)'!E1096,0)</f>
        <v>10451.4</v>
      </c>
    </row>
    <row r="1097" spans="1:6" s="28" customFormat="1" x14ac:dyDescent="0.25">
      <c r="A1097" s="38">
        <v>17</v>
      </c>
      <c r="B1097" s="34" t="s">
        <v>984</v>
      </c>
      <c r="C1097" s="18" t="s">
        <v>410</v>
      </c>
      <c r="D1097" s="32" t="s">
        <v>2263</v>
      </c>
      <c r="E1097" s="5">
        <f>IF('зведена (БАЛАНС) (2)'!E1097&gt;'зведена (БАЛАНС) (2)'!F1097,'зведена (БАЛАНС) (2)'!E1097-'зведена (БАЛАНС) (2)'!F1097,0)</f>
        <v>0</v>
      </c>
      <c r="F1097" s="5">
        <f>IF('зведена (БАЛАНС) (2)'!F1097&gt;'зведена (БАЛАНС) (2)'!E1097,'зведена (БАЛАНС) (2)'!F1097-'зведена (БАЛАНС) (2)'!E1097,0)</f>
        <v>4783.2</v>
      </c>
    </row>
    <row r="1098" spans="1:6" s="28" customFormat="1" x14ac:dyDescent="0.25">
      <c r="A1098" s="38">
        <v>17</v>
      </c>
      <c r="B1098" s="34" t="s">
        <v>984</v>
      </c>
      <c r="C1098" s="18" t="s">
        <v>493</v>
      </c>
      <c r="D1098" s="32" t="s">
        <v>2264</v>
      </c>
      <c r="E1098" s="5">
        <f>IF('зведена (БАЛАНС) (2)'!E1098&gt;'зведена (БАЛАНС) (2)'!F1098,'зведена (БАЛАНС) (2)'!E1098-'зведена (БАЛАНС) (2)'!F1098,0)</f>
        <v>0</v>
      </c>
      <c r="F1098" s="5">
        <f>IF('зведена (БАЛАНС) (2)'!F1098&gt;'зведена (БАЛАНС) (2)'!E1098,'зведена (БАЛАНС) (2)'!F1098-'зведена (БАЛАНС) (2)'!E1098,0)</f>
        <v>7675.6</v>
      </c>
    </row>
    <row r="1099" spans="1:6" s="28" customFormat="1" x14ac:dyDescent="0.25">
      <c r="A1099" s="38">
        <v>17</v>
      </c>
      <c r="B1099" s="34" t="s">
        <v>984</v>
      </c>
      <c r="C1099" s="18" t="s">
        <v>607</v>
      </c>
      <c r="D1099" s="32" t="s">
        <v>2265</v>
      </c>
      <c r="E1099" s="5">
        <f>IF('зведена (БАЛАНС) (2)'!E1099&gt;'зведена (БАЛАНС) (2)'!F1099,'зведена (БАЛАНС) (2)'!E1099-'зведена (БАЛАНС) (2)'!F1099,0)</f>
        <v>0</v>
      </c>
      <c r="F1099" s="5">
        <f>IF('зведена (БАЛАНС) (2)'!F1099&gt;'зведена (БАЛАНС) (2)'!E1099,'зведена (БАЛАНС) (2)'!F1099-'зведена (БАЛАНС) (2)'!E1099,0)</f>
        <v>9476.7000000000007</v>
      </c>
    </row>
    <row r="1100" spans="1:6" s="28" customFormat="1" x14ac:dyDescent="0.25">
      <c r="A1100" s="38">
        <v>17</v>
      </c>
      <c r="B1100" s="34" t="s">
        <v>984</v>
      </c>
      <c r="C1100" s="18" t="s">
        <v>608</v>
      </c>
      <c r="D1100" s="32" t="s">
        <v>2266</v>
      </c>
      <c r="E1100" s="5">
        <f>IF('зведена (БАЛАНС) (2)'!E1100&gt;'зведена (БАЛАНС) (2)'!F1100,'зведена (БАЛАНС) (2)'!E1100-'зведена (БАЛАНС) (2)'!F1100,0)</f>
        <v>0</v>
      </c>
      <c r="F1100" s="5">
        <f>IF('зведена (БАЛАНС) (2)'!F1100&gt;'зведена (БАЛАНС) (2)'!E1100,'зведена (БАЛАНС) (2)'!F1100-'зведена (БАЛАНС) (2)'!E1100,0)</f>
        <v>116</v>
      </c>
    </row>
    <row r="1101" spans="1:6" s="28" customFormat="1" x14ac:dyDescent="0.25">
      <c r="A1101" s="38">
        <v>17</v>
      </c>
      <c r="B1101" s="34" t="s">
        <v>985</v>
      </c>
      <c r="C1101" s="18" t="s">
        <v>609</v>
      </c>
      <c r="D1101" s="32" t="s">
        <v>2267</v>
      </c>
      <c r="E1101" s="5">
        <f>IF('зведена (БАЛАНС) (2)'!E1101&gt;'зведена (БАЛАНС) (2)'!F1101,'зведена (БАЛАНС) (2)'!E1101-'зведена (БАЛАНС) (2)'!F1101,0)</f>
        <v>11093.9</v>
      </c>
      <c r="F1101" s="5">
        <f>IF('зведена (БАЛАНС) (2)'!F1101&gt;'зведена (БАЛАНС) (2)'!E1101,'зведена (БАЛАНС) (2)'!F1101-'зведена (БАЛАНС) (2)'!E1101,0)</f>
        <v>0</v>
      </c>
    </row>
    <row r="1102" spans="1:6" s="28" customFormat="1" x14ac:dyDescent="0.25">
      <c r="A1102" s="38">
        <v>17</v>
      </c>
      <c r="B1102" s="34" t="s">
        <v>984</v>
      </c>
      <c r="C1102" s="18" t="s">
        <v>610</v>
      </c>
      <c r="D1102" s="32" t="s">
        <v>2268</v>
      </c>
      <c r="E1102" s="5">
        <f>IF('зведена (БАЛАНС) (2)'!E1102&gt;'зведена (БАЛАНС) (2)'!F1102,'зведена (БАЛАНС) (2)'!E1102-'зведена (БАЛАНС) (2)'!F1102,0)</f>
        <v>0</v>
      </c>
      <c r="F1102" s="5">
        <f>IF('зведена (БАЛАНС) (2)'!F1102&gt;'зведена (БАЛАНС) (2)'!E1102,'зведена (БАЛАНС) (2)'!F1102-'зведена (БАЛАНС) (2)'!E1102,0)</f>
        <v>16274.6</v>
      </c>
    </row>
    <row r="1103" spans="1:6" s="28" customFormat="1" x14ac:dyDescent="0.25">
      <c r="A1103" s="38">
        <v>17</v>
      </c>
      <c r="B1103" s="34" t="s">
        <v>985</v>
      </c>
      <c r="C1103" s="18" t="s">
        <v>611</v>
      </c>
      <c r="D1103" s="67" t="s">
        <v>2269</v>
      </c>
      <c r="E1103" s="5">
        <f>IF('зведена (БАЛАНС) (2)'!E1103&gt;'зведена (БАЛАНС) (2)'!F1103,'зведена (БАЛАНС) (2)'!E1103-'зведена (БАЛАНС) (2)'!F1103,0)</f>
        <v>0</v>
      </c>
      <c r="F1103" s="5">
        <f>IF('зведена (БАЛАНС) (2)'!F1103&gt;'зведена (БАЛАНС) (2)'!E1103,'зведена (БАЛАНС) (2)'!F1103-'зведена (БАЛАНС) (2)'!E1103,0)</f>
        <v>10645.1</v>
      </c>
    </row>
    <row r="1104" spans="1:6" s="28" customFormat="1" x14ac:dyDescent="0.25">
      <c r="A1104" s="38">
        <v>17</v>
      </c>
      <c r="B1104" s="34" t="s">
        <v>984</v>
      </c>
      <c r="C1104" s="18" t="s">
        <v>714</v>
      </c>
      <c r="D1104" s="67" t="s">
        <v>2270</v>
      </c>
      <c r="E1104" s="5">
        <f>IF('зведена (БАЛАНС) (2)'!E1104&gt;'зведена (БАЛАНС) (2)'!F1104,'зведена (БАЛАНС) (2)'!E1104-'зведена (БАЛАНС) (2)'!F1104,0)</f>
        <v>0</v>
      </c>
      <c r="F1104" s="5">
        <f>IF('зведена (БАЛАНС) (2)'!F1104&gt;'зведена (БАЛАНС) (2)'!E1104,'зведена (БАЛАНС) (2)'!F1104-'зведена (БАЛАНС) (2)'!E1104,0)</f>
        <v>3672.1</v>
      </c>
    </row>
    <row r="1105" spans="1:6" s="28" customFormat="1" x14ac:dyDescent="0.25">
      <c r="A1105" s="38">
        <v>17</v>
      </c>
      <c r="B1105" s="34" t="s">
        <v>984</v>
      </c>
      <c r="C1105" s="18">
        <v>17526000000</v>
      </c>
      <c r="D1105" s="67" t="s">
        <v>2271</v>
      </c>
      <c r="E1105" s="5">
        <f>IF('зведена (БАЛАНС) (2)'!E1105&gt;'зведена (БАЛАНС) (2)'!F1105,'зведена (БАЛАНС) (2)'!E1105-'зведена (БАЛАНС) (2)'!F1105,0)</f>
        <v>0</v>
      </c>
      <c r="F1105" s="5">
        <f>IF('зведена (БАЛАНС) (2)'!F1105&gt;'зведена (БАЛАНС) (2)'!E1105,'зведена (БАЛАНС) (2)'!F1105-'зведена (БАЛАНС) (2)'!E1105,0)</f>
        <v>9300.7999999999993</v>
      </c>
    </row>
    <row r="1106" spans="1:6" s="28" customFormat="1" x14ac:dyDescent="0.25">
      <c r="A1106" s="38">
        <v>17</v>
      </c>
      <c r="B1106" s="34" t="s">
        <v>984</v>
      </c>
      <c r="C1106" s="18">
        <v>17527000000</v>
      </c>
      <c r="D1106" s="67" t="s">
        <v>2272</v>
      </c>
      <c r="E1106" s="5">
        <f>IF('зведена (БАЛАНС) (2)'!E1106&gt;'зведена (БАЛАНС) (2)'!F1106,'зведена (БАЛАНС) (2)'!E1106-'зведена (БАЛАНС) (2)'!F1106,0)</f>
        <v>0</v>
      </c>
      <c r="F1106" s="5">
        <f>IF('зведена (БАЛАНС) (2)'!F1106&gt;'зведена (БАЛАНС) (2)'!E1106,'зведена (БАЛАНС) (2)'!F1106-'зведена (БАЛАНС) (2)'!E1106,0)</f>
        <v>13580.6</v>
      </c>
    </row>
    <row r="1107" spans="1:6" s="27" customFormat="1" x14ac:dyDescent="0.25">
      <c r="A1107" s="38">
        <v>17</v>
      </c>
      <c r="B1107" s="34" t="s">
        <v>984</v>
      </c>
      <c r="C1107" s="18">
        <v>17528000000</v>
      </c>
      <c r="D1107" s="67" t="s">
        <v>2273</v>
      </c>
      <c r="E1107" s="5">
        <f>IF('зведена (БАЛАНС) (2)'!E1107&gt;'зведена (БАЛАНС) (2)'!F1107,'зведена (БАЛАНС) (2)'!E1107-'зведена (БАЛАНС) (2)'!F1107,0)</f>
        <v>0</v>
      </c>
      <c r="F1107" s="5">
        <f>IF('зведена (БАЛАНС) (2)'!F1107&gt;'зведена (БАЛАНС) (2)'!E1107,'зведена (БАЛАНС) (2)'!F1107-'зведена (БАЛАНС) (2)'!E1107,0)</f>
        <v>4435.8</v>
      </c>
    </row>
    <row r="1108" spans="1:6" x14ac:dyDescent="0.25">
      <c r="A1108" s="38">
        <v>17</v>
      </c>
      <c r="B1108" s="34" t="s">
        <v>984</v>
      </c>
      <c r="C1108" s="18">
        <v>17529000000</v>
      </c>
      <c r="D1108" s="67" t="s">
        <v>2274</v>
      </c>
      <c r="E1108" s="5">
        <f>IF('зведена (БАЛАНС) (2)'!E1108&gt;'зведена (БАЛАНС) (2)'!F1108,'зведена (БАЛАНС) (2)'!E1108-'зведена (БАЛАНС) (2)'!F1108,0)</f>
        <v>0</v>
      </c>
      <c r="F1108" s="5">
        <f>IF('зведена (БАЛАНС) (2)'!F1108&gt;'зведена (БАЛАНС) (2)'!E1108,'зведена (БАЛАНС) (2)'!F1108-'зведена (БАЛАНС) (2)'!E1108,0)</f>
        <v>4801.8</v>
      </c>
    </row>
    <row r="1109" spans="1:6" x14ac:dyDescent="0.25">
      <c r="A1109" s="38">
        <v>17</v>
      </c>
      <c r="B1109" s="34" t="s">
        <v>984</v>
      </c>
      <c r="C1109" s="18">
        <v>17530000000</v>
      </c>
      <c r="D1109" s="67" t="s">
        <v>2275</v>
      </c>
      <c r="E1109" s="5">
        <f>IF('зведена (БАЛАНС) (2)'!E1109&gt;'зведена (БАЛАНС) (2)'!F1109,'зведена (БАЛАНС) (2)'!E1109-'зведена (БАЛАНС) (2)'!F1109,0)</f>
        <v>0</v>
      </c>
      <c r="F1109" s="5">
        <f>IF('зведена (БАЛАНС) (2)'!F1109&gt;'зведена (БАЛАНС) (2)'!E1109,'зведена (БАЛАНС) (2)'!F1109-'зведена (БАЛАНС) (2)'!E1109,0)</f>
        <v>10339</v>
      </c>
    </row>
    <row r="1110" spans="1:6" x14ac:dyDescent="0.25">
      <c r="A1110" s="38">
        <v>17</v>
      </c>
      <c r="B1110" s="34" t="s">
        <v>984</v>
      </c>
      <c r="C1110" s="18">
        <v>17531000000</v>
      </c>
      <c r="D1110" s="67" t="s">
        <v>2276</v>
      </c>
      <c r="E1110" s="5">
        <f>IF('зведена (БАЛАНС) (2)'!E1110&gt;'зведена (БАЛАНС) (2)'!F1110,'зведена (БАЛАНС) (2)'!E1110-'зведена (БАЛАНС) (2)'!F1110,0)</f>
        <v>0</v>
      </c>
      <c r="F1110" s="5">
        <f>IF('зведена (БАЛАНС) (2)'!F1110&gt;'зведена (БАЛАНС) (2)'!E1110,'зведена (БАЛАНС) (2)'!F1110-'зведена (БАЛАНС) (2)'!E1110,0)</f>
        <v>11957.9</v>
      </c>
    </row>
    <row r="1111" spans="1:6" x14ac:dyDescent="0.25">
      <c r="A1111" s="38">
        <v>17</v>
      </c>
      <c r="B1111" s="34" t="s">
        <v>986</v>
      </c>
      <c r="C1111" s="18">
        <v>17532000000</v>
      </c>
      <c r="D1111" s="32" t="s">
        <v>3079</v>
      </c>
      <c r="E1111" s="5">
        <f>IF('зведена (БАЛАНС) (2)'!E1111&gt;'зведена (БАЛАНС) (2)'!F1111,'зведена (БАЛАНС) (2)'!E1111-'зведена (БАЛАНС) (2)'!F1111,0)</f>
        <v>119950.5</v>
      </c>
      <c r="F1111" s="5">
        <f>IF('зведена (БАЛАНС) (2)'!F1111&gt;'зведена (БАЛАНС) (2)'!E1111,'зведена (БАЛАНС) (2)'!F1111-'зведена (БАЛАНС) (2)'!E1111,0)</f>
        <v>0</v>
      </c>
    </row>
    <row r="1112" spans="1:6" x14ac:dyDescent="0.25">
      <c r="A1112" s="38">
        <v>17</v>
      </c>
      <c r="B1112" s="34" t="s">
        <v>986</v>
      </c>
      <c r="C1112" s="18">
        <v>17534000000</v>
      </c>
      <c r="D1112" s="32" t="s">
        <v>3080</v>
      </c>
      <c r="E1112" s="5">
        <f>IF('зведена (БАЛАНС) (2)'!E1112&gt;'зведена (БАЛАНС) (2)'!F1112,'зведена (БАЛАНС) (2)'!E1112-'зведена (БАЛАНС) (2)'!F1112,0)</f>
        <v>0</v>
      </c>
      <c r="F1112" s="5">
        <f>IF('зведена (БАЛАНС) (2)'!F1112&gt;'зведена (БАЛАНС) (2)'!E1112,'зведена (БАЛАНС) (2)'!F1112-'зведена (БАЛАНС) (2)'!E1112,0)</f>
        <v>50371.3</v>
      </c>
    </row>
    <row r="1113" spans="1:6" x14ac:dyDescent="0.25">
      <c r="A1113" s="38">
        <v>17</v>
      </c>
      <c r="B1113" s="34" t="s">
        <v>985</v>
      </c>
      <c r="C1113" s="18">
        <v>17535000000</v>
      </c>
      <c r="D1113" s="32" t="s">
        <v>3081</v>
      </c>
      <c r="E1113" s="5">
        <f>IF('зведена (БАЛАНС) (2)'!E1113&gt;'зведена (БАЛАНС) (2)'!F1113,'зведена (БАЛАНС) (2)'!E1113-'зведена (БАЛАНС) (2)'!F1113,0)</f>
        <v>0</v>
      </c>
      <c r="F1113" s="5">
        <f>IF('зведена (БАЛАНС) (2)'!F1113&gt;'зведена (БАЛАНС) (2)'!E1113,'зведена (БАЛАНС) (2)'!F1113-'зведена (БАЛАНС) (2)'!E1113,0)</f>
        <v>12281.6</v>
      </c>
    </row>
    <row r="1114" spans="1:6" x14ac:dyDescent="0.25">
      <c r="A1114" s="38">
        <v>17</v>
      </c>
      <c r="B1114" s="34" t="s">
        <v>984</v>
      </c>
      <c r="C1114" s="18">
        <v>17536000000</v>
      </c>
      <c r="D1114" s="32" t="s">
        <v>3082</v>
      </c>
      <c r="E1114" s="5">
        <f>IF('зведена (БАЛАНС) (2)'!E1114&gt;'зведена (БАЛАНС) (2)'!F1114,'зведена (БАЛАНС) (2)'!E1114-'зведена (БАЛАНС) (2)'!F1114,0)</f>
        <v>0</v>
      </c>
      <c r="F1114" s="5">
        <f>IF('зведена (БАЛАНС) (2)'!F1114&gt;'зведена (БАЛАНС) (2)'!E1114,'зведена (БАЛАНС) (2)'!F1114-'зведена (БАЛАНС) (2)'!E1114,0)</f>
        <v>8612.7999999999993</v>
      </c>
    </row>
    <row r="1115" spans="1:6" x14ac:dyDescent="0.25">
      <c r="A1115" s="38">
        <v>17</v>
      </c>
      <c r="B1115" s="34" t="s">
        <v>984</v>
      </c>
      <c r="C1115" s="18">
        <v>17537000000</v>
      </c>
      <c r="D1115" s="32" t="s">
        <v>3083</v>
      </c>
      <c r="E1115" s="5">
        <f>IF('зведена (БАЛАНС) (2)'!E1115&gt;'зведена (БАЛАНС) (2)'!F1115,'зведена (БАЛАНС) (2)'!E1115-'зведена (БАЛАНС) (2)'!F1115,0)</f>
        <v>0</v>
      </c>
      <c r="F1115" s="5">
        <f>IF('зведена (БАЛАНС) (2)'!F1115&gt;'зведена (БАЛАНС) (2)'!E1115,'зведена (БАЛАНС) (2)'!F1115-'зведена (БАЛАНС) (2)'!E1115,0)</f>
        <v>10431.9</v>
      </c>
    </row>
    <row r="1116" spans="1:6" x14ac:dyDescent="0.25">
      <c r="A1116" s="38">
        <v>17</v>
      </c>
      <c r="B1116" s="34" t="s">
        <v>984</v>
      </c>
      <c r="C1116" s="18">
        <v>17538000000</v>
      </c>
      <c r="D1116" s="32" t="s">
        <v>3084</v>
      </c>
      <c r="E1116" s="5">
        <f>IF('зведена (БАЛАНС) (2)'!E1116&gt;'зведена (БАЛАНС) (2)'!F1116,'зведена (БАЛАНС) (2)'!E1116-'зведена (БАЛАНС) (2)'!F1116,0)</f>
        <v>0</v>
      </c>
      <c r="F1116" s="5">
        <f>IF('зведена (БАЛАНС) (2)'!F1116&gt;'зведена (БАЛАНС) (2)'!E1116,'зведена (БАЛАНС) (2)'!F1116-'зведена (БАЛАНС) (2)'!E1116,0)</f>
        <v>1106.5</v>
      </c>
    </row>
    <row r="1117" spans="1:6" x14ac:dyDescent="0.25">
      <c r="A1117" s="38">
        <v>17</v>
      </c>
      <c r="B1117" s="34" t="s">
        <v>984</v>
      </c>
      <c r="C1117" s="18">
        <v>17539000000</v>
      </c>
      <c r="D1117" s="32" t="s">
        <v>3085</v>
      </c>
      <c r="E1117" s="5">
        <f>IF('зведена (БАЛАНС) (2)'!E1117&gt;'зведена (БАЛАНС) (2)'!F1117,'зведена (БАЛАНС) (2)'!E1117-'зведена (БАЛАНС) (2)'!F1117,0)</f>
        <v>0</v>
      </c>
      <c r="F1117" s="5">
        <f>IF('зведена (БАЛАНС) (2)'!F1117&gt;'зведена (БАЛАНС) (2)'!E1117,'зведена (БАЛАНС) (2)'!F1117-'зведена (БАЛАНС) (2)'!E1117,0)</f>
        <v>15877.7</v>
      </c>
    </row>
    <row r="1118" spans="1:6" x14ac:dyDescent="0.25">
      <c r="A1118" s="38">
        <v>17</v>
      </c>
      <c r="B1118" s="34" t="s">
        <v>984</v>
      </c>
      <c r="C1118" s="18">
        <v>17540000000</v>
      </c>
      <c r="D1118" s="32" t="s">
        <v>3086</v>
      </c>
      <c r="E1118" s="5">
        <f>IF('зведена (БАЛАНС) (2)'!E1118&gt;'зведена (БАЛАНС) (2)'!F1118,'зведена (БАЛАНС) (2)'!E1118-'зведена (БАЛАНС) (2)'!F1118,0)</f>
        <v>0</v>
      </c>
      <c r="F1118" s="5">
        <f>IF('зведена (БАЛАНС) (2)'!F1118&gt;'зведена (БАЛАНС) (2)'!E1118,'зведена (БАЛАНС) (2)'!F1118-'зведена (БАЛАНС) (2)'!E1118,0)</f>
        <v>10427.1</v>
      </c>
    </row>
    <row r="1119" spans="1:6" x14ac:dyDescent="0.25">
      <c r="A1119" s="38">
        <v>17</v>
      </c>
      <c r="B1119" s="34" t="s">
        <v>984</v>
      </c>
      <c r="C1119" s="18">
        <v>17541000000</v>
      </c>
      <c r="D1119" s="32" t="s">
        <v>3087</v>
      </c>
      <c r="E1119" s="5">
        <f>IF('зведена (БАЛАНС) (2)'!E1119&gt;'зведена (БАЛАНС) (2)'!F1119,'зведена (БАЛАНС) (2)'!E1119-'зведена (БАЛАНС) (2)'!F1119,0)</f>
        <v>0</v>
      </c>
      <c r="F1119" s="5">
        <f>IF('зведена (БАЛАНС) (2)'!F1119&gt;'зведена (БАЛАНС) (2)'!E1119,'зведена (БАЛАНС) (2)'!F1119-'зведена (БАЛАНС) (2)'!E1119,0)</f>
        <v>11697.5</v>
      </c>
    </row>
    <row r="1120" spans="1:6" x14ac:dyDescent="0.25">
      <c r="A1120" s="38">
        <v>17</v>
      </c>
      <c r="B1120" s="34" t="s">
        <v>984</v>
      </c>
      <c r="C1120" s="18">
        <v>17543000000</v>
      </c>
      <c r="D1120" s="32" t="s">
        <v>3088</v>
      </c>
      <c r="E1120" s="5">
        <f>IF('зведена (БАЛАНС) (2)'!E1120&gt;'зведена (БАЛАНС) (2)'!F1120,'зведена (БАЛАНС) (2)'!E1120-'зведена (БАЛАНС) (2)'!F1120,0)</f>
        <v>0</v>
      </c>
      <c r="F1120" s="5">
        <f>IF('зведена (БАЛАНС) (2)'!F1120&gt;'зведена (БАЛАНС) (2)'!E1120,'зведена (БАЛАНС) (2)'!F1120-'зведена (БАЛАНС) (2)'!E1120,0)</f>
        <v>6566.6</v>
      </c>
    </row>
    <row r="1121" spans="1:6" x14ac:dyDescent="0.25">
      <c r="A1121" s="38">
        <v>17</v>
      </c>
      <c r="B1121" s="34" t="s">
        <v>985</v>
      </c>
      <c r="C1121" s="18">
        <v>17544000000</v>
      </c>
      <c r="D1121" s="67" t="s">
        <v>3089</v>
      </c>
      <c r="E1121" s="5">
        <f>IF('зведена (БАЛАНС) (2)'!E1121&gt;'зведена (БАЛАНС) (2)'!F1121,'зведена (БАЛАНС) (2)'!E1121-'зведена (БАЛАНС) (2)'!F1121,0)</f>
        <v>0</v>
      </c>
      <c r="F1121" s="5">
        <f>IF('зведена (БАЛАНС) (2)'!F1121&gt;'зведена (БАЛАНС) (2)'!E1121,'зведена (БАЛАНС) (2)'!F1121-'зведена (БАЛАНС) (2)'!E1121,0)</f>
        <v>11839.3</v>
      </c>
    </row>
    <row r="1122" spans="1:6" x14ac:dyDescent="0.25">
      <c r="A1122" s="38">
        <v>17</v>
      </c>
      <c r="B1122" s="34" t="s">
        <v>984</v>
      </c>
      <c r="C1122" s="18">
        <v>17545000000</v>
      </c>
      <c r="D1122" s="32" t="s">
        <v>3090</v>
      </c>
      <c r="E1122" s="5">
        <f>IF('зведена (БАЛАНС) (2)'!E1122&gt;'зведена (БАЛАНС) (2)'!F1122,'зведена (БАЛАНС) (2)'!E1122-'зведена (БАЛАНС) (2)'!F1122,0)</f>
        <v>0</v>
      </c>
      <c r="F1122" s="5">
        <f>IF('зведена (БАЛАНС) (2)'!F1122&gt;'зведена (БАЛАНС) (2)'!E1122,'зведена (БАЛАНС) (2)'!F1122-'зведена (БАЛАНС) (2)'!E1122,0)</f>
        <v>4058</v>
      </c>
    </row>
    <row r="1123" spans="1:6" x14ac:dyDescent="0.25">
      <c r="A1123" s="38">
        <v>17</v>
      </c>
      <c r="B1123" s="34" t="s">
        <v>984</v>
      </c>
      <c r="C1123" s="18">
        <v>17546000000</v>
      </c>
      <c r="D1123" s="67" t="s">
        <v>1461</v>
      </c>
      <c r="E1123" s="5">
        <f>IF('зведена (БАЛАНС) (2)'!E1123&gt;'зведена (БАЛАНС) (2)'!F1123,'зведена (БАЛАНС) (2)'!E1123-'зведена (БАЛАНС) (2)'!F1123,0)</f>
        <v>0</v>
      </c>
      <c r="F1123" s="5">
        <f>IF('зведена (БАЛАНС) (2)'!F1123&gt;'зведена (БАЛАНС) (2)'!E1123,'зведена (БАЛАНС) (2)'!F1123-'зведена (БАЛАНС) (2)'!E1123,0)</f>
        <v>22242.2</v>
      </c>
    </row>
    <row r="1124" spans="1:6" x14ac:dyDescent="0.25">
      <c r="A1124" s="38">
        <v>17</v>
      </c>
      <c r="B1124" s="34" t="s">
        <v>983</v>
      </c>
      <c r="C1124" s="18">
        <v>17547000000</v>
      </c>
      <c r="D1124" s="67" t="s">
        <v>2289</v>
      </c>
      <c r="E1124" s="5">
        <f>IF('зведена (БАЛАНС) (2)'!E1124&gt;'зведена (БАЛАНС) (2)'!F1124,'зведена (БАЛАНС) (2)'!E1124-'зведена (БАЛАНС) (2)'!F1124,0)</f>
        <v>0</v>
      </c>
      <c r="F1124" s="5">
        <f>IF('зведена (БАЛАНС) (2)'!F1124&gt;'зведена (БАЛАНС) (2)'!E1124,'зведена (БАЛАНС) (2)'!F1124-'зведена (БАЛАНС) (2)'!E1124,0)</f>
        <v>64223.1</v>
      </c>
    </row>
    <row r="1125" spans="1:6" x14ac:dyDescent="0.25">
      <c r="A1125" s="38">
        <v>17</v>
      </c>
      <c r="B1125" s="34" t="s">
        <v>984</v>
      </c>
      <c r="C1125" s="18">
        <v>17548000000</v>
      </c>
      <c r="D1125" s="67" t="s">
        <v>2290</v>
      </c>
      <c r="E1125" s="5">
        <f>IF('зведена (БАЛАНС) (2)'!E1125&gt;'зведена (БАЛАНС) (2)'!F1125,'зведена (БАЛАНС) (2)'!E1125-'зведена (БАЛАНС) (2)'!F1125,0)</f>
        <v>0</v>
      </c>
      <c r="F1125" s="5">
        <f>IF('зведена (БАЛАНС) (2)'!F1125&gt;'зведена (БАЛАНС) (2)'!E1125,'зведена (БАЛАНС) (2)'!F1125-'зведена (БАЛАНС) (2)'!E1125,0)</f>
        <v>12123</v>
      </c>
    </row>
    <row r="1126" spans="1:6" x14ac:dyDescent="0.25">
      <c r="A1126" s="38">
        <v>17</v>
      </c>
      <c r="B1126" s="34" t="s">
        <v>984</v>
      </c>
      <c r="C1126" s="18">
        <v>17549000000</v>
      </c>
      <c r="D1126" s="67" t="s">
        <v>2291</v>
      </c>
      <c r="E1126" s="5">
        <f>IF('зведена (БАЛАНС) (2)'!E1126&gt;'зведена (БАЛАНС) (2)'!F1126,'зведена (БАЛАНС) (2)'!E1126-'зведена (БАЛАНС) (2)'!F1126,0)</f>
        <v>0</v>
      </c>
      <c r="F1126" s="5">
        <f>IF('зведена (БАЛАНС) (2)'!F1126&gt;'зведена (БАЛАНС) (2)'!E1126,'зведена (БАЛАНС) (2)'!F1126-'зведена (БАЛАНС) (2)'!E1126,0)</f>
        <v>7801.8</v>
      </c>
    </row>
    <row r="1127" spans="1:6" x14ac:dyDescent="0.25">
      <c r="A1127" s="38">
        <v>17</v>
      </c>
      <c r="B1127" s="34" t="s">
        <v>984</v>
      </c>
      <c r="C1127" s="18">
        <v>17550000000</v>
      </c>
      <c r="D1127" s="67" t="s">
        <v>2292</v>
      </c>
      <c r="E1127" s="5">
        <f>IF('зведена (БАЛАНС) (2)'!E1127&gt;'зведена (БАЛАНС) (2)'!F1127,'зведена (БАЛАНС) (2)'!E1127-'зведена (БАЛАНС) (2)'!F1127,0)</f>
        <v>0</v>
      </c>
      <c r="F1127" s="5">
        <f>IF('зведена (БАЛАНС) (2)'!F1127&gt;'зведена (БАЛАНС) (2)'!E1127,'зведена (БАЛАНС) (2)'!F1127-'зведена (БАЛАНС) (2)'!E1127,0)</f>
        <v>13011.9</v>
      </c>
    </row>
    <row r="1128" spans="1:6" x14ac:dyDescent="0.25">
      <c r="A1128" s="38">
        <v>17</v>
      </c>
      <c r="B1128" s="34" t="s">
        <v>984</v>
      </c>
      <c r="C1128" s="18">
        <v>17551000000</v>
      </c>
      <c r="D1128" s="67" t="s">
        <v>2293</v>
      </c>
      <c r="E1128" s="5">
        <f>IF('зведена (БАЛАНС) (2)'!E1128&gt;'зведена (БАЛАНС) (2)'!F1128,'зведена (БАЛАНС) (2)'!E1128-'зведена (БАЛАНС) (2)'!F1128,0)</f>
        <v>0</v>
      </c>
      <c r="F1128" s="5">
        <f>IF('зведена (БАЛАНС) (2)'!F1128&gt;'зведена (БАЛАНС) (2)'!E1128,'зведена (БАЛАНС) (2)'!F1128-'зведена (БАЛАНС) (2)'!E1128,0)</f>
        <v>5414</v>
      </c>
    </row>
    <row r="1129" spans="1:6" x14ac:dyDescent="0.25">
      <c r="A1129" s="38">
        <v>17</v>
      </c>
      <c r="B1129" s="34" t="s">
        <v>985</v>
      </c>
      <c r="C1129" s="18">
        <v>17552000000</v>
      </c>
      <c r="D1129" s="67" t="s">
        <v>2294</v>
      </c>
      <c r="E1129" s="5">
        <f>IF('зведена (БАЛАНС) (2)'!E1129&gt;'зведена (БАЛАНС) (2)'!F1129,'зведена (БАЛАНС) (2)'!E1129-'зведена (БАЛАНС) (2)'!F1129,0)</f>
        <v>0</v>
      </c>
      <c r="F1129" s="5">
        <f>IF('зведена (БАЛАНС) (2)'!F1129&gt;'зведена (БАЛАНС) (2)'!E1129,'зведена (БАЛАНС) (2)'!F1129-'зведена (БАЛАНС) (2)'!E1129,0)</f>
        <v>34344.800000000003</v>
      </c>
    </row>
    <row r="1130" spans="1:6" x14ac:dyDescent="0.25">
      <c r="A1130" s="38">
        <v>17</v>
      </c>
      <c r="B1130" s="34" t="s">
        <v>984</v>
      </c>
      <c r="C1130" s="18">
        <v>17553000000</v>
      </c>
      <c r="D1130" s="67" t="s">
        <v>2295</v>
      </c>
      <c r="E1130" s="5">
        <f>IF('зведена (БАЛАНС) (2)'!E1130&gt;'зведена (БАЛАНС) (2)'!F1130,'зведена (БАЛАНС) (2)'!E1130-'зведена (БАЛАНС) (2)'!F1130,0)</f>
        <v>11974.3</v>
      </c>
      <c r="F1130" s="5">
        <f>IF('зведена (БАЛАНС) (2)'!F1130&gt;'зведена (БАЛАНС) (2)'!E1130,'зведена (БАЛАНС) (2)'!F1130-'зведена (БАЛАНС) (2)'!E1130,0)</f>
        <v>0</v>
      </c>
    </row>
    <row r="1131" spans="1:6" x14ac:dyDescent="0.25">
      <c r="A1131" s="38">
        <v>17</v>
      </c>
      <c r="B1131" s="34" t="s">
        <v>985</v>
      </c>
      <c r="C1131" s="18">
        <v>17554000000</v>
      </c>
      <c r="D1131" s="67" t="s">
        <v>2296</v>
      </c>
      <c r="E1131" s="5">
        <f>IF('зведена (БАЛАНС) (2)'!E1131&gt;'зведена (БАЛАНС) (2)'!F1131,'зведена (БАЛАНС) (2)'!E1131-'зведена (БАЛАНС) (2)'!F1131,0)</f>
        <v>0</v>
      </c>
      <c r="F1131" s="5">
        <f>IF('зведена (БАЛАНС) (2)'!F1131&gt;'зведена (БАЛАНС) (2)'!E1131,'зведена (БАЛАНС) (2)'!F1131-'зведена (БАЛАНС) (2)'!E1131,0)</f>
        <v>12027.5</v>
      </c>
    </row>
    <row r="1132" spans="1:6" x14ac:dyDescent="0.25">
      <c r="A1132" s="38">
        <v>17</v>
      </c>
      <c r="B1132" s="34" t="s">
        <v>986</v>
      </c>
      <c r="C1132" s="18">
        <v>17555000000</v>
      </c>
      <c r="D1132" s="67" t="s">
        <v>1064</v>
      </c>
      <c r="E1132" s="5">
        <f>IF('зведена (БАЛАНС) (2)'!E1132&gt;'зведена (БАЛАНС) (2)'!F1132,'зведена (БАЛАНС) (2)'!E1132-'зведена (БАЛАНС) (2)'!F1132,0)</f>
        <v>0</v>
      </c>
      <c r="F1132" s="5">
        <f>IF('зведена (БАЛАНС) (2)'!F1132&gt;'зведена (БАЛАНС) (2)'!E1132,'зведена (БАЛАНС) (2)'!F1132-'зведена (БАЛАНС) (2)'!E1132,0)</f>
        <v>0</v>
      </c>
    </row>
    <row r="1133" spans="1:6" x14ac:dyDescent="0.25">
      <c r="A1133" s="38">
        <v>17</v>
      </c>
      <c r="B1133" s="34" t="s">
        <v>983</v>
      </c>
      <c r="C1133" s="18">
        <v>17556000000</v>
      </c>
      <c r="D1133" s="67" t="s">
        <v>2297</v>
      </c>
      <c r="E1133" s="5">
        <f>IF('зведена (БАЛАНС) (2)'!E1133&gt;'зведена (БАЛАНС) (2)'!F1133,'зведена (БАЛАНС) (2)'!E1133-'зведена (БАЛАНС) (2)'!F1133,0)</f>
        <v>0</v>
      </c>
      <c r="F1133" s="5">
        <f>IF('зведена (БАЛАНС) (2)'!F1133&gt;'зведена (БАЛАНС) (2)'!E1133,'зведена (БАЛАНС) (2)'!F1133-'зведена (БАЛАНС) (2)'!E1133,0)</f>
        <v>49282.5</v>
      </c>
    </row>
    <row r="1134" spans="1:6" x14ac:dyDescent="0.25">
      <c r="A1134" s="38">
        <v>17</v>
      </c>
      <c r="B1134" s="34" t="s">
        <v>985</v>
      </c>
      <c r="C1134" s="18">
        <v>17557000000</v>
      </c>
      <c r="D1134" s="67" t="s">
        <v>2298</v>
      </c>
      <c r="E1134" s="5">
        <f>IF('зведена (БАЛАНС) (2)'!E1134&gt;'зведена (БАЛАНС) (2)'!F1134,'зведена (БАЛАНС) (2)'!E1134-'зведена (БАЛАНС) (2)'!F1134,0)</f>
        <v>0</v>
      </c>
      <c r="F1134" s="5">
        <f>IF('зведена (БАЛАНС) (2)'!F1134&gt;'зведена (БАЛАНС) (2)'!E1134,'зведена (БАЛАНС) (2)'!F1134-'зведена (БАЛАНС) (2)'!E1134,0)</f>
        <v>42597.3</v>
      </c>
    </row>
    <row r="1135" spans="1:6" x14ac:dyDescent="0.25">
      <c r="A1135" s="38">
        <v>17</v>
      </c>
      <c r="B1135" s="34" t="s">
        <v>984</v>
      </c>
      <c r="C1135" s="18">
        <v>17558000000</v>
      </c>
      <c r="D1135" s="67" t="s">
        <v>2299</v>
      </c>
      <c r="E1135" s="5">
        <f>IF('зведена (БАЛАНС) (2)'!E1135&gt;'зведена (БАЛАНС) (2)'!F1135,'зведена (БАЛАНС) (2)'!E1135-'зведена (БАЛАНС) (2)'!F1135,0)</f>
        <v>0</v>
      </c>
      <c r="F1135" s="5">
        <f>IF('зведена (БАЛАНС) (2)'!F1135&gt;'зведена (БАЛАНС) (2)'!E1135,'зведена (БАЛАНС) (2)'!F1135-'зведена (БАЛАНС) (2)'!E1135,0)</f>
        <v>16311.9</v>
      </c>
    </row>
    <row r="1136" spans="1:6" x14ac:dyDescent="0.25">
      <c r="A1136" s="38">
        <v>17</v>
      </c>
      <c r="B1136" s="34" t="s">
        <v>983</v>
      </c>
      <c r="C1136" s="18">
        <v>17559000000</v>
      </c>
      <c r="D1136" s="67" t="s">
        <v>2300</v>
      </c>
      <c r="E1136" s="5">
        <f>IF('зведена (БАЛАНС) (2)'!E1136&gt;'зведена (БАЛАНС) (2)'!F1136,'зведена (БАЛАНС) (2)'!E1136-'зведена (БАЛАНС) (2)'!F1136,0)</f>
        <v>0</v>
      </c>
      <c r="F1136" s="5">
        <f>IF('зведена (БАЛАНС) (2)'!F1136&gt;'зведена (БАЛАНС) (2)'!E1136,'зведена (БАЛАНС) (2)'!F1136-'зведена (БАЛАНС) (2)'!E1136,0)</f>
        <v>0</v>
      </c>
    </row>
    <row r="1137" spans="1:6" x14ac:dyDescent="0.25">
      <c r="A1137" s="38">
        <v>17</v>
      </c>
      <c r="B1137" s="34" t="s">
        <v>984</v>
      </c>
      <c r="C1137" s="18">
        <v>17560000000</v>
      </c>
      <c r="D1137" s="67" t="s">
        <v>2301</v>
      </c>
      <c r="E1137" s="5">
        <f>IF('зведена (БАЛАНС) (2)'!E1137&gt;'зведена (БАЛАНС) (2)'!F1137,'зведена (БАЛАНС) (2)'!E1137-'зведена (БАЛАНС) (2)'!F1137,0)</f>
        <v>0</v>
      </c>
      <c r="F1137" s="5">
        <f>IF('зведена (БАЛАНС) (2)'!F1137&gt;'зведена (БАЛАНС) (2)'!E1137,'зведена (БАЛАНС) (2)'!F1137-'зведена (БАЛАНС) (2)'!E1137,0)</f>
        <v>276.60000000000002</v>
      </c>
    </row>
    <row r="1138" spans="1:6" s="28" customFormat="1" x14ac:dyDescent="0.25">
      <c r="A1138" s="38">
        <v>17</v>
      </c>
      <c r="B1138" s="34" t="s">
        <v>983</v>
      </c>
      <c r="C1138" s="18">
        <v>17561000000</v>
      </c>
      <c r="D1138" s="67" t="s">
        <v>2302</v>
      </c>
      <c r="E1138" s="5">
        <f>IF('зведена (БАЛАНС) (2)'!E1138&gt;'зведена (БАЛАНС) (2)'!F1138,'зведена (БАЛАНС) (2)'!E1138-'зведена (БАЛАНС) (2)'!F1138,0)</f>
        <v>0</v>
      </c>
      <c r="F1138" s="5">
        <f>IF('зведена (БАЛАНС) (2)'!F1138&gt;'зведена (БАЛАНС) (2)'!E1138,'зведена (БАЛАНС) (2)'!F1138-'зведена (БАЛАНС) (2)'!E1138,0)</f>
        <v>28064.7</v>
      </c>
    </row>
    <row r="1139" spans="1:6" s="28" customFormat="1" x14ac:dyDescent="0.25">
      <c r="A1139" s="38">
        <v>17</v>
      </c>
      <c r="B1139" s="34" t="s">
        <v>983</v>
      </c>
      <c r="C1139" s="18">
        <v>17562000000</v>
      </c>
      <c r="D1139" s="67" t="s">
        <v>2303</v>
      </c>
      <c r="E1139" s="5">
        <f>IF('зведена (БАЛАНС) (2)'!E1139&gt;'зведена (БАЛАНС) (2)'!F1139,'зведена (БАЛАНС) (2)'!E1139-'зведена (БАЛАНС) (2)'!F1139,0)</f>
        <v>0</v>
      </c>
      <c r="F1139" s="5">
        <f>IF('зведена (БАЛАНС) (2)'!F1139&gt;'зведена (БАЛАНС) (2)'!E1139,'зведена (БАЛАНС) (2)'!F1139-'зведена (БАЛАНС) (2)'!E1139,0)</f>
        <v>18184.8</v>
      </c>
    </row>
    <row r="1140" spans="1:6" s="28" customFormat="1" x14ac:dyDescent="0.25">
      <c r="A1140" s="38">
        <v>17</v>
      </c>
      <c r="B1140" s="34" t="s">
        <v>985</v>
      </c>
      <c r="C1140" s="18">
        <v>17563000000</v>
      </c>
      <c r="D1140" s="67" t="s">
        <v>2304</v>
      </c>
      <c r="E1140" s="5">
        <f>IF('зведена (БАЛАНС) (2)'!E1140&gt;'зведена (БАЛАНС) (2)'!F1140,'зведена (БАЛАНС) (2)'!E1140-'зведена (БАЛАНС) (2)'!F1140,0)</f>
        <v>0</v>
      </c>
      <c r="F1140" s="5">
        <f>IF('зведена (БАЛАНС) (2)'!F1140&gt;'зведена (БАЛАНС) (2)'!E1140,'зведена (БАЛАНС) (2)'!F1140-'зведена (БАЛАНС) (2)'!E1140,0)</f>
        <v>22154</v>
      </c>
    </row>
    <row r="1141" spans="1:6" s="28" customFormat="1" x14ac:dyDescent="0.25">
      <c r="A1141" s="38">
        <v>17</v>
      </c>
      <c r="B1141" s="34" t="s">
        <v>986</v>
      </c>
      <c r="C1141" s="18">
        <v>17564000000</v>
      </c>
      <c r="D1141" s="67" t="s">
        <v>2305</v>
      </c>
      <c r="E1141" s="5">
        <f>IF('зведена (БАЛАНС) (2)'!E1141&gt;'зведена (БАЛАНС) (2)'!F1141,'зведена (БАЛАНС) (2)'!E1141-'зведена (БАЛАНС) (2)'!F1141,0)</f>
        <v>53260.9</v>
      </c>
      <c r="F1141" s="5">
        <f>IF('зведена (БАЛАНС) (2)'!F1141&gt;'зведена (БАЛАНС) (2)'!E1141,'зведена (БАЛАНС) (2)'!F1141-'зведена (БАЛАНС) (2)'!E1141,0)</f>
        <v>0</v>
      </c>
    </row>
    <row r="1142" spans="1:6" s="28" customFormat="1" x14ac:dyDescent="0.25">
      <c r="A1142" s="38">
        <v>17</v>
      </c>
      <c r="B1142" s="34" t="s">
        <v>985</v>
      </c>
      <c r="C1142" s="18">
        <v>17565000000</v>
      </c>
      <c r="D1142" s="67" t="s">
        <v>2306</v>
      </c>
      <c r="E1142" s="5">
        <f>IF('зведена (БАЛАНС) (2)'!E1142&gt;'зведена (БАЛАНС) (2)'!F1142,'зведена (БАЛАНС) (2)'!E1142-'зведена (БАЛАНС) (2)'!F1142,0)</f>
        <v>0</v>
      </c>
      <c r="F1142" s="5">
        <f>IF('зведена (БАЛАНС) (2)'!F1142&gt;'зведена (БАЛАНС) (2)'!E1142,'зведена (БАЛАНС) (2)'!F1142-'зведена (БАЛАНС) (2)'!E1142,0)</f>
        <v>44122.5</v>
      </c>
    </row>
    <row r="1143" spans="1:6" s="28" customFormat="1" x14ac:dyDescent="0.25">
      <c r="A1143" s="38">
        <v>17</v>
      </c>
      <c r="B1143" s="34" t="s">
        <v>983</v>
      </c>
      <c r="C1143" s="18">
        <v>17566000000</v>
      </c>
      <c r="D1143" s="67" t="s">
        <v>2307</v>
      </c>
      <c r="E1143" s="5">
        <f>IF('зведена (БАЛАНС) (2)'!E1143&gt;'зведена (БАЛАНС) (2)'!F1143,'зведена (БАЛАНС) (2)'!E1143-'зведена (БАЛАНС) (2)'!F1143,0)</f>
        <v>0</v>
      </c>
      <c r="F1143" s="5">
        <f>IF('зведена (БАЛАНС) (2)'!F1143&gt;'зведена (БАЛАНС) (2)'!E1143,'зведена (БАЛАНС) (2)'!F1143-'зведена (БАЛАНС) (2)'!E1143,0)</f>
        <v>55360.800000000003</v>
      </c>
    </row>
    <row r="1144" spans="1:6" s="28" customFormat="1" x14ac:dyDescent="0.25">
      <c r="A1144" s="38">
        <v>17</v>
      </c>
      <c r="B1144" s="34" t="s">
        <v>985</v>
      </c>
      <c r="C1144" s="18">
        <v>17567000000</v>
      </c>
      <c r="D1144" s="67" t="s">
        <v>2308</v>
      </c>
      <c r="E1144" s="5">
        <f>IF('зведена (БАЛАНС) (2)'!E1144&gt;'зведена (БАЛАНС) (2)'!F1144,'зведена (БАЛАНС) (2)'!E1144-'зведена (БАЛАНС) (2)'!F1144,0)</f>
        <v>0</v>
      </c>
      <c r="F1144" s="5">
        <f>IF('зведена (БАЛАНС) (2)'!F1144&gt;'зведена (БАЛАНС) (2)'!E1144,'зведена (БАЛАНС) (2)'!F1144-'зведена (БАЛАНС) (2)'!E1144,0)</f>
        <v>7064.2</v>
      </c>
    </row>
    <row r="1145" spans="1:6" s="28" customFormat="1" x14ac:dyDescent="0.25">
      <c r="A1145" s="36">
        <v>18</v>
      </c>
      <c r="B1145" s="17" t="s">
        <v>7</v>
      </c>
      <c r="C1145" s="17" t="s">
        <v>805</v>
      </c>
      <c r="D1145" s="11" t="s">
        <v>20</v>
      </c>
      <c r="E1145" s="11">
        <f>E1146+E1147+E1153</f>
        <v>194594.59999999998</v>
      </c>
      <c r="F1145" s="11">
        <f>F1146+F1147+F1153</f>
        <v>278523.70000000007</v>
      </c>
    </row>
    <row r="1146" spans="1:6" s="28" customFormat="1" x14ac:dyDescent="0.25">
      <c r="A1146" s="38">
        <v>18</v>
      </c>
      <c r="B1146" s="34" t="s">
        <v>6</v>
      </c>
      <c r="C1146" s="18" t="s">
        <v>166</v>
      </c>
      <c r="D1146" s="32" t="s">
        <v>856</v>
      </c>
      <c r="E1146" s="5">
        <f>IF('зведена (БАЛАНС) (2)'!E1146&gt;'зведена (БАЛАНС) (2)'!F1146,'зведена (БАЛАНС) (2)'!E1146-'зведена (БАЛАНС) (2)'!F1146,0)</f>
        <v>0</v>
      </c>
      <c r="F1146" s="5">
        <f>IF('зведена (БАЛАНС) (2)'!F1146&gt;'зведена (БАЛАНС) (2)'!E1146,'зведена (БАЛАНС) (2)'!F1146-'зведена (БАЛАНС) (2)'!E1146,0)</f>
        <v>23864.2</v>
      </c>
    </row>
    <row r="1147" spans="1:6" s="28" customFormat="1" x14ac:dyDescent="0.25">
      <c r="A1147" s="37">
        <v>18</v>
      </c>
      <c r="B1147" s="19" t="s">
        <v>5</v>
      </c>
      <c r="C1147" s="19" t="s">
        <v>806</v>
      </c>
      <c r="D1147" s="7" t="s">
        <v>2811</v>
      </c>
      <c r="E1147" s="7">
        <f>SUM(E1148:E1152)</f>
        <v>0</v>
      </c>
      <c r="F1147" s="7">
        <f>SUM(F1148:F1152)</f>
        <v>0</v>
      </c>
    </row>
    <row r="1148" spans="1:6" s="28" customFormat="1" x14ac:dyDescent="0.25">
      <c r="A1148" s="38">
        <v>18</v>
      </c>
      <c r="B1148" s="34" t="s">
        <v>4</v>
      </c>
      <c r="C1148" s="82" t="s">
        <v>167</v>
      </c>
      <c r="D1148" s="68" t="s">
        <v>944</v>
      </c>
      <c r="E1148" s="5">
        <f>IF('зведена (БАЛАНС) (2)'!E1148&gt;'зведена (БАЛАНС) (2)'!F1148,'зведена (БАЛАНС) (2)'!E1148-'зведена (БАЛАНС) (2)'!F1148,0)</f>
        <v>0</v>
      </c>
      <c r="F1148" s="5">
        <f>IF('зведена (БАЛАНС) (2)'!F1148&gt;'зведена (БАЛАНС) (2)'!E1148,'зведена (БАЛАНС) (2)'!F1148-'зведена (БАЛАНС) (2)'!E1148,0)</f>
        <v>0</v>
      </c>
    </row>
    <row r="1149" spans="1:6" s="28" customFormat="1" x14ac:dyDescent="0.25">
      <c r="A1149" s="38">
        <v>18</v>
      </c>
      <c r="B1149" s="34" t="s">
        <v>4</v>
      </c>
      <c r="C1149" s="82" t="s">
        <v>168</v>
      </c>
      <c r="D1149" s="68" t="s">
        <v>945</v>
      </c>
      <c r="E1149" s="5">
        <f>IF('зведена (БАЛАНС) (2)'!E1149&gt;'зведена (БАЛАНС) (2)'!F1149,'зведена (БАЛАНС) (2)'!E1149-'зведена (БАЛАНС) (2)'!F1149,0)</f>
        <v>0</v>
      </c>
      <c r="F1149" s="5">
        <f>IF('зведена (БАЛАНС) (2)'!F1149&gt;'зведена (БАЛАНС) (2)'!E1149,'зведена (БАЛАНС) (2)'!F1149-'зведена (БАЛАНС) (2)'!E1149,0)</f>
        <v>0</v>
      </c>
    </row>
    <row r="1150" spans="1:6" s="28" customFormat="1" x14ac:dyDescent="0.25">
      <c r="A1150" s="38">
        <v>18</v>
      </c>
      <c r="B1150" s="34" t="s">
        <v>4</v>
      </c>
      <c r="C1150" s="82" t="s">
        <v>169</v>
      </c>
      <c r="D1150" s="68" t="s">
        <v>946</v>
      </c>
      <c r="E1150" s="5">
        <f>IF('зведена (БАЛАНС) (2)'!E1150&gt;'зведена (БАЛАНС) (2)'!F1150,'зведена (БАЛАНС) (2)'!E1150-'зведена (БАЛАНС) (2)'!F1150,0)</f>
        <v>0</v>
      </c>
      <c r="F1150" s="5">
        <f>IF('зведена (БАЛАНС) (2)'!F1150&gt;'зведена (БАЛАНС) (2)'!E1150,'зведена (БАЛАНС) (2)'!F1150-'зведена (БАЛАНС) (2)'!E1150,0)</f>
        <v>0</v>
      </c>
    </row>
    <row r="1151" spans="1:6" s="28" customFormat="1" x14ac:dyDescent="0.25">
      <c r="A1151" s="38">
        <v>18</v>
      </c>
      <c r="B1151" s="34" t="s">
        <v>4</v>
      </c>
      <c r="C1151" s="82" t="s">
        <v>170</v>
      </c>
      <c r="D1151" s="68" t="s">
        <v>947</v>
      </c>
      <c r="E1151" s="5">
        <f>IF('зведена (БАЛАНС) (2)'!E1151&gt;'зведена (БАЛАНС) (2)'!F1151,'зведена (БАЛАНС) (2)'!E1151-'зведена (БАЛАНС) (2)'!F1151,0)</f>
        <v>0</v>
      </c>
      <c r="F1151" s="5">
        <f>IF('зведена (БАЛАНС) (2)'!F1151&gt;'зведена (БАЛАНС) (2)'!E1151,'зведена (БАЛАНС) (2)'!F1151-'зведена (БАЛАНС) (2)'!E1151,0)</f>
        <v>0</v>
      </c>
    </row>
    <row r="1152" spans="1:6" s="28" customFormat="1" x14ac:dyDescent="0.25">
      <c r="A1152" s="38">
        <v>18</v>
      </c>
      <c r="B1152" s="34" t="s">
        <v>4</v>
      </c>
      <c r="C1152" s="18" t="s">
        <v>171</v>
      </c>
      <c r="D1152" s="32" t="s">
        <v>948</v>
      </c>
      <c r="E1152" s="5">
        <f>IF('зведена (БАЛАНС) (2)'!E1152&gt;'зведена (БАЛАНС) (2)'!F1152,'зведена (БАЛАНС) (2)'!E1152-'зведена (БАЛАНС) (2)'!F1152,0)</f>
        <v>0</v>
      </c>
      <c r="F1152" s="5">
        <f>IF('зведена (БАЛАНС) (2)'!F1152&gt;'зведена (БАЛАНС) (2)'!E1152,'зведена (БАЛАНС) (2)'!F1152-'зведена (БАЛАНС) (2)'!E1152,0)</f>
        <v>0</v>
      </c>
    </row>
    <row r="1153" spans="1:6" s="28" customFormat="1" x14ac:dyDescent="0.25">
      <c r="A1153" s="37">
        <v>18</v>
      </c>
      <c r="B1153" s="19" t="s">
        <v>28</v>
      </c>
      <c r="C1153" s="19" t="s">
        <v>807</v>
      </c>
      <c r="D1153" s="20" t="s">
        <v>2784</v>
      </c>
      <c r="E1153" s="7">
        <f>SUM(E1154:E1204)</f>
        <v>194594.59999999998</v>
      </c>
      <c r="F1153" s="7">
        <f>SUM(F1154:F1204)</f>
        <v>254659.50000000006</v>
      </c>
    </row>
    <row r="1154" spans="1:6" s="28" customFormat="1" x14ac:dyDescent="0.25">
      <c r="A1154" s="38">
        <v>18</v>
      </c>
      <c r="B1154" s="34" t="s">
        <v>984</v>
      </c>
      <c r="C1154" s="18" t="s">
        <v>172</v>
      </c>
      <c r="D1154" s="32" t="s">
        <v>1461</v>
      </c>
      <c r="E1154" s="5">
        <f>IF('зведена (БАЛАНС) (2)'!E1154&gt;'зведена (БАЛАНС) (2)'!F1154,'зведена (БАЛАНС) (2)'!E1154-'зведена (БАЛАНС) (2)'!F1154,0)</f>
        <v>0</v>
      </c>
      <c r="F1154" s="5">
        <f>IF('зведена (БАЛАНС) (2)'!F1154&gt;'зведена (БАЛАНС) (2)'!E1154,'зведена (БАЛАНС) (2)'!F1154-'зведена (БАЛАНС) (2)'!E1154,0)</f>
        <v>2008.4</v>
      </c>
    </row>
    <row r="1155" spans="1:6" s="28" customFormat="1" x14ac:dyDescent="0.25">
      <c r="A1155" s="38">
        <v>18</v>
      </c>
      <c r="B1155" s="34" t="s">
        <v>983</v>
      </c>
      <c r="C1155" s="18" t="s">
        <v>411</v>
      </c>
      <c r="D1155" s="32" t="s">
        <v>2309</v>
      </c>
      <c r="E1155" s="5">
        <f>IF('зведена (БАЛАНС) (2)'!E1155&gt;'зведена (БАЛАНС) (2)'!F1155,'зведена (БАЛАНС) (2)'!E1155-'зведена (БАЛАНС) (2)'!F1155,0)</f>
        <v>2029.2</v>
      </c>
      <c r="F1155" s="5">
        <f>IF('зведена (БАЛАНС) (2)'!F1155&gt;'зведена (БАЛАНС) (2)'!E1155,'зведена (БАЛАНС) (2)'!F1155-'зведена (БАЛАНС) (2)'!E1155,0)</f>
        <v>0</v>
      </c>
    </row>
    <row r="1156" spans="1:6" s="28" customFormat="1" x14ac:dyDescent="0.25">
      <c r="A1156" s="38">
        <v>18</v>
      </c>
      <c r="B1156" s="34" t="s">
        <v>985</v>
      </c>
      <c r="C1156" s="18" t="s">
        <v>412</v>
      </c>
      <c r="D1156" s="32" t="s">
        <v>2310</v>
      </c>
      <c r="E1156" s="5">
        <f>IF('зведена (БАЛАНС) (2)'!E1156&gt;'зведена (БАЛАНС) (2)'!F1156,'зведена (БАЛАНС) (2)'!E1156-'зведена (БАЛАНС) (2)'!F1156,0)</f>
        <v>0</v>
      </c>
      <c r="F1156" s="5">
        <f>IF('зведена (БАЛАНС) (2)'!F1156&gt;'зведена (БАЛАНС) (2)'!E1156,'зведена (БАЛАНС) (2)'!F1156-'зведена (БАЛАНС) (2)'!E1156,0)</f>
        <v>4154.1000000000004</v>
      </c>
    </row>
    <row r="1157" spans="1:6" s="28" customFormat="1" x14ac:dyDescent="0.25">
      <c r="A1157" s="38">
        <v>18</v>
      </c>
      <c r="B1157" s="34" t="s">
        <v>985</v>
      </c>
      <c r="C1157" s="18" t="s">
        <v>413</v>
      </c>
      <c r="D1157" s="32" t="s">
        <v>2311</v>
      </c>
      <c r="E1157" s="5">
        <f>IF('зведена (БАЛАНС) (2)'!E1157&gt;'зведена (БАЛАНС) (2)'!F1157,'зведена (БАЛАНС) (2)'!E1157-'зведена (БАЛАНС) (2)'!F1157,0)</f>
        <v>0</v>
      </c>
      <c r="F1157" s="5">
        <f>IF('зведена (БАЛАНС) (2)'!F1157&gt;'зведена (БАЛАНС) (2)'!E1157,'зведена (БАЛАНС) (2)'!F1157-'зведена (БАЛАНС) (2)'!E1157,0)</f>
        <v>6141.5</v>
      </c>
    </row>
    <row r="1158" spans="1:6" s="28" customFormat="1" x14ac:dyDescent="0.25">
      <c r="A1158" s="38">
        <v>18</v>
      </c>
      <c r="B1158" s="34" t="s">
        <v>985</v>
      </c>
      <c r="C1158" s="18" t="s">
        <v>414</v>
      </c>
      <c r="D1158" s="32" t="s">
        <v>2162</v>
      </c>
      <c r="E1158" s="5">
        <f>IF('зведена (БАЛАНС) (2)'!E1158&gt;'зведена (БАЛАНС) (2)'!F1158,'зведена (БАЛАНС) (2)'!E1158-'зведена (БАЛАНС) (2)'!F1158,0)</f>
        <v>0</v>
      </c>
      <c r="F1158" s="5">
        <f>IF('зведена (БАЛАНС) (2)'!F1158&gt;'зведена (БАЛАНС) (2)'!E1158,'зведена (БАЛАНС) (2)'!F1158-'зведена (БАЛАНС) (2)'!E1158,0)</f>
        <v>3432.6</v>
      </c>
    </row>
    <row r="1159" spans="1:6" s="28" customFormat="1" x14ac:dyDescent="0.25">
      <c r="A1159" s="38">
        <v>18</v>
      </c>
      <c r="B1159" s="34" t="s">
        <v>985</v>
      </c>
      <c r="C1159" s="18" t="s">
        <v>415</v>
      </c>
      <c r="D1159" s="32" t="s">
        <v>2312</v>
      </c>
      <c r="E1159" s="5">
        <f>IF('зведена (БАЛАНС) (2)'!E1159&gt;'зведена (БАЛАНС) (2)'!F1159,'зведена (БАЛАНС) (2)'!E1159-'зведена (БАЛАНС) (2)'!F1159,0)</f>
        <v>0</v>
      </c>
      <c r="F1159" s="5">
        <f>IF('зведена (БАЛАНС) (2)'!F1159&gt;'зведена (БАЛАНС) (2)'!E1159,'зведена (БАЛАНС) (2)'!F1159-'зведена (БАЛАНС) (2)'!E1159,0)</f>
        <v>0</v>
      </c>
    </row>
    <row r="1160" spans="1:6" s="28" customFormat="1" x14ac:dyDescent="0.25">
      <c r="A1160" s="38">
        <v>18</v>
      </c>
      <c r="B1160" s="34" t="s">
        <v>985</v>
      </c>
      <c r="C1160" s="18" t="s">
        <v>416</v>
      </c>
      <c r="D1160" s="32" t="s">
        <v>2313</v>
      </c>
      <c r="E1160" s="5">
        <f>IF('зведена (БАЛАНС) (2)'!E1160&gt;'зведена (БАЛАНС) (2)'!F1160,'зведена (БАЛАНС) (2)'!E1160-'зведена (БАЛАНС) (2)'!F1160,0)</f>
        <v>258.3</v>
      </c>
      <c r="F1160" s="5">
        <f>IF('зведена (БАЛАНС) (2)'!F1160&gt;'зведена (БАЛАНС) (2)'!E1160,'зведена (БАЛАНС) (2)'!F1160-'зведена (БАЛАНС) (2)'!E1160,0)</f>
        <v>0</v>
      </c>
    </row>
    <row r="1161" spans="1:6" s="28" customFormat="1" x14ac:dyDescent="0.25">
      <c r="A1161" s="38">
        <v>18</v>
      </c>
      <c r="B1161" s="34" t="s">
        <v>985</v>
      </c>
      <c r="C1161" s="18" t="s">
        <v>417</v>
      </c>
      <c r="D1161" s="32" t="s">
        <v>2314</v>
      </c>
      <c r="E1161" s="5">
        <f>IF('зведена (БАЛАНС) (2)'!E1161&gt;'зведена (БАЛАНС) (2)'!F1161,'зведена (БАЛАНС) (2)'!E1161-'зведена (БАЛАНС) (2)'!F1161,0)</f>
        <v>0</v>
      </c>
      <c r="F1161" s="5">
        <f>IF('зведена (БАЛАНС) (2)'!F1161&gt;'зведена (БАЛАНС) (2)'!E1161,'зведена (БАЛАНС) (2)'!F1161-'зведена (БАЛАНС) (2)'!E1161,0)</f>
        <v>0</v>
      </c>
    </row>
    <row r="1162" spans="1:6" s="28" customFormat="1" x14ac:dyDescent="0.25">
      <c r="A1162" s="38">
        <v>18</v>
      </c>
      <c r="B1162" s="34" t="s">
        <v>984</v>
      </c>
      <c r="C1162" s="18" t="s">
        <v>418</v>
      </c>
      <c r="D1162" s="32" t="s">
        <v>2315</v>
      </c>
      <c r="E1162" s="5">
        <f>IF('зведена (БАЛАНС) (2)'!E1162&gt;'зведена (БАЛАНС) (2)'!F1162,'зведена (БАЛАНС) (2)'!E1162-'зведена (БАЛАНС) (2)'!F1162,0)</f>
        <v>0</v>
      </c>
      <c r="F1162" s="5">
        <f>IF('зведена (БАЛАНС) (2)'!F1162&gt;'зведена (БАЛАНС) (2)'!E1162,'зведена (БАЛАНС) (2)'!F1162-'зведена (БАЛАНС) (2)'!E1162,0)</f>
        <v>3173.9</v>
      </c>
    </row>
    <row r="1163" spans="1:6" s="28" customFormat="1" x14ac:dyDescent="0.25">
      <c r="A1163" s="38">
        <v>18</v>
      </c>
      <c r="B1163" s="34" t="s">
        <v>984</v>
      </c>
      <c r="C1163" s="18" t="s">
        <v>419</v>
      </c>
      <c r="D1163" s="32" t="s">
        <v>2316</v>
      </c>
      <c r="E1163" s="5">
        <f>IF('зведена (БАЛАНС) (2)'!E1163&gt;'зведена (БАЛАНС) (2)'!F1163,'зведена (БАЛАНС) (2)'!E1163-'зведена (БАЛАНС) (2)'!F1163,0)</f>
        <v>0</v>
      </c>
      <c r="F1163" s="5">
        <f>IF('зведена (БАЛАНС) (2)'!F1163&gt;'зведена (БАЛАНС) (2)'!E1163,'зведена (БАЛАНС) (2)'!F1163-'зведена (БАЛАНС) (2)'!E1163,0)</f>
        <v>0</v>
      </c>
    </row>
    <row r="1164" spans="1:6" s="28" customFormat="1" x14ac:dyDescent="0.25">
      <c r="A1164" s="38">
        <v>18</v>
      </c>
      <c r="B1164" s="34" t="s">
        <v>984</v>
      </c>
      <c r="C1164" s="18" t="s">
        <v>420</v>
      </c>
      <c r="D1164" s="32" t="s">
        <v>2317</v>
      </c>
      <c r="E1164" s="5">
        <f>IF('зведена (БАЛАНС) (2)'!E1164&gt;'зведена (БАЛАНС) (2)'!F1164,'зведена (БАЛАНС) (2)'!E1164-'зведена (БАЛАНС) (2)'!F1164,0)</f>
        <v>0</v>
      </c>
      <c r="F1164" s="5">
        <f>IF('зведена (БАЛАНС) (2)'!F1164&gt;'зведена (БАЛАНС) (2)'!E1164,'зведена (БАЛАНС) (2)'!F1164-'зведена (БАЛАНС) (2)'!E1164,0)</f>
        <v>6360.9</v>
      </c>
    </row>
    <row r="1165" spans="1:6" s="28" customFormat="1" x14ac:dyDescent="0.25">
      <c r="A1165" s="38">
        <v>18</v>
      </c>
      <c r="B1165" s="34" t="s">
        <v>984</v>
      </c>
      <c r="C1165" s="18" t="s">
        <v>421</v>
      </c>
      <c r="D1165" s="32" t="s">
        <v>1299</v>
      </c>
      <c r="E1165" s="5">
        <f>IF('зведена (БАЛАНС) (2)'!E1165&gt;'зведена (БАЛАНС) (2)'!F1165,'зведена (БАЛАНС) (2)'!E1165-'зведена (БАЛАНС) (2)'!F1165,0)</f>
        <v>7412.4</v>
      </c>
      <c r="F1165" s="5">
        <f>IF('зведена (БАЛАНС) (2)'!F1165&gt;'зведена (БАЛАНС) (2)'!E1165,'зведена (БАЛАНС) (2)'!F1165-'зведена (БАЛАНС) (2)'!E1165,0)</f>
        <v>0</v>
      </c>
    </row>
    <row r="1166" spans="1:6" s="28" customFormat="1" x14ac:dyDescent="0.25">
      <c r="A1166" s="38">
        <v>18</v>
      </c>
      <c r="B1166" s="34" t="s">
        <v>984</v>
      </c>
      <c r="C1166" s="18" t="s">
        <v>422</v>
      </c>
      <c r="D1166" s="32" t="s">
        <v>2319</v>
      </c>
      <c r="E1166" s="5">
        <f>IF('зведена (БАЛАНС) (2)'!E1166&gt;'зведена (БАЛАНС) (2)'!F1166,'зведена (БАЛАНС) (2)'!E1166-'зведена (БАЛАНС) (2)'!F1166,0)</f>
        <v>0</v>
      </c>
      <c r="F1166" s="5">
        <f>IF('зведена (БАЛАНС) (2)'!F1166&gt;'зведена (БАЛАНС) (2)'!E1166,'зведена (БАЛАНС) (2)'!F1166-'зведена (БАЛАНС) (2)'!E1166,0)</f>
        <v>1848.7</v>
      </c>
    </row>
    <row r="1167" spans="1:6" s="28" customFormat="1" x14ac:dyDescent="0.25">
      <c r="A1167" s="38">
        <v>18</v>
      </c>
      <c r="B1167" s="34" t="s">
        <v>984</v>
      </c>
      <c r="C1167" s="18" t="s">
        <v>423</v>
      </c>
      <c r="D1167" s="32" t="s">
        <v>2320</v>
      </c>
      <c r="E1167" s="5">
        <f>IF('зведена (БАЛАНС) (2)'!E1167&gt;'зведена (БАЛАНС) (2)'!F1167,'зведена (БАЛАНС) (2)'!E1167-'зведена (БАЛАНС) (2)'!F1167,0)</f>
        <v>0</v>
      </c>
      <c r="F1167" s="5">
        <f>IF('зведена (БАЛАНС) (2)'!F1167&gt;'зведена (БАЛАНС) (2)'!E1167,'зведена (БАЛАНС) (2)'!F1167-'зведена (БАЛАНС) (2)'!E1167,0)</f>
        <v>6964.1</v>
      </c>
    </row>
    <row r="1168" spans="1:6" s="28" customFormat="1" x14ac:dyDescent="0.25">
      <c r="A1168" s="38">
        <v>18</v>
      </c>
      <c r="B1168" s="34" t="s">
        <v>984</v>
      </c>
      <c r="C1168" s="18" t="s">
        <v>494</v>
      </c>
      <c r="D1168" s="32" t="s">
        <v>1445</v>
      </c>
      <c r="E1168" s="5">
        <f>IF('зведена (БАЛАНС) (2)'!E1168&gt;'зведена (БАЛАНС) (2)'!F1168,'зведена (БАЛАНС) (2)'!E1168-'зведена (БАЛАНС) (2)'!F1168,0)</f>
        <v>0</v>
      </c>
      <c r="F1168" s="5">
        <f>IF('зведена (БАЛАНС) (2)'!F1168&gt;'зведена (БАЛАНС) (2)'!E1168,'зведена (БАЛАНС) (2)'!F1168-'зведена (БАЛАНС) (2)'!E1168,0)</f>
        <v>1751.2</v>
      </c>
    </row>
    <row r="1169" spans="1:6" s="28" customFormat="1" x14ac:dyDescent="0.25">
      <c r="A1169" s="38">
        <v>18</v>
      </c>
      <c r="B1169" s="34" t="s">
        <v>983</v>
      </c>
      <c r="C1169" s="18" t="s">
        <v>495</v>
      </c>
      <c r="D1169" s="32" t="s">
        <v>2321</v>
      </c>
      <c r="E1169" s="5">
        <f>IF('зведена (БАЛАНС) (2)'!E1169&gt;'зведена (БАЛАНС) (2)'!F1169,'зведена (БАЛАНС) (2)'!E1169-'зведена (БАЛАНС) (2)'!F1169,0)</f>
        <v>0</v>
      </c>
      <c r="F1169" s="5">
        <f>IF('зведена (БАЛАНС) (2)'!F1169&gt;'зведена (БАЛАНС) (2)'!E1169,'зведена (БАЛАНС) (2)'!F1169-'зведена (БАЛАНС) (2)'!E1169,0)</f>
        <v>21375.3</v>
      </c>
    </row>
    <row r="1170" spans="1:6" s="28" customFormat="1" x14ac:dyDescent="0.25">
      <c r="A1170" s="38">
        <v>18</v>
      </c>
      <c r="B1170" s="34" t="s">
        <v>985</v>
      </c>
      <c r="C1170" s="18" t="s">
        <v>496</v>
      </c>
      <c r="D1170" s="32" t="s">
        <v>3091</v>
      </c>
      <c r="E1170" s="5">
        <f>IF('зведена (БАЛАНС) (2)'!E1170&gt;'зведена (БАЛАНС) (2)'!F1170,'зведена (БАЛАНС) (2)'!E1170-'зведена (БАЛАНС) (2)'!F1170,0)</f>
        <v>0</v>
      </c>
      <c r="F1170" s="5">
        <f>IF('зведена (БАЛАНС) (2)'!F1170&gt;'зведена (БАЛАНС) (2)'!E1170,'зведена (БАЛАНС) (2)'!F1170-'зведена (БАЛАНС) (2)'!E1170,0)</f>
        <v>2886.3</v>
      </c>
    </row>
    <row r="1171" spans="1:6" s="28" customFormat="1" x14ac:dyDescent="0.25">
      <c r="A1171" s="38">
        <v>18</v>
      </c>
      <c r="B1171" s="34" t="s">
        <v>984</v>
      </c>
      <c r="C1171" s="18" t="s">
        <v>497</v>
      </c>
      <c r="D1171" s="32" t="s">
        <v>2323</v>
      </c>
      <c r="E1171" s="5">
        <f>IF('зведена (БАЛАНС) (2)'!E1171&gt;'зведена (БАЛАНС) (2)'!F1171,'зведена (БАЛАНС) (2)'!E1171-'зведена (БАЛАНС) (2)'!F1171,0)</f>
        <v>0</v>
      </c>
      <c r="F1171" s="5">
        <f>IF('зведена (БАЛАНС) (2)'!F1171&gt;'зведена (БАЛАНС) (2)'!E1171,'зведена (БАЛАНС) (2)'!F1171-'зведена (БАЛАНС) (2)'!E1171,0)</f>
        <v>0</v>
      </c>
    </row>
    <row r="1172" spans="1:6" s="28" customFormat="1" x14ac:dyDescent="0.25">
      <c r="A1172" s="38">
        <v>18</v>
      </c>
      <c r="B1172" s="34" t="s">
        <v>983</v>
      </c>
      <c r="C1172" s="18" t="s">
        <v>612</v>
      </c>
      <c r="D1172" s="32" t="s">
        <v>2324</v>
      </c>
      <c r="E1172" s="5">
        <f>IF('зведена (БАЛАНС) (2)'!E1172&gt;'зведена (БАЛАНС) (2)'!F1172,'зведена (БАЛАНС) (2)'!E1172-'зведена (БАЛАНС) (2)'!F1172,0)</f>
        <v>0</v>
      </c>
      <c r="F1172" s="5">
        <f>IF('зведена (БАЛАНС) (2)'!F1172&gt;'зведена (БАЛАНС) (2)'!E1172,'зведена (БАЛАНС) (2)'!F1172-'зведена (БАЛАНС) (2)'!E1172,0)</f>
        <v>9455.7000000000007</v>
      </c>
    </row>
    <row r="1173" spans="1:6" s="28" customFormat="1" x14ac:dyDescent="0.25">
      <c r="A1173" s="38">
        <v>18</v>
      </c>
      <c r="B1173" s="34" t="s">
        <v>985</v>
      </c>
      <c r="C1173" s="18" t="s">
        <v>613</v>
      </c>
      <c r="D1173" s="32" t="s">
        <v>2325</v>
      </c>
      <c r="E1173" s="5">
        <f>IF('зведена (БАЛАНС) (2)'!E1173&gt;'зведена (БАЛАНС) (2)'!F1173,'зведена (БАЛАНС) (2)'!E1173-'зведена (БАЛАНС) (2)'!F1173,0)</f>
        <v>0</v>
      </c>
      <c r="F1173" s="5">
        <f>IF('зведена (БАЛАНС) (2)'!F1173&gt;'зведена (БАЛАНС) (2)'!E1173,'зведена (БАЛАНС) (2)'!F1173-'зведена (БАЛАНС) (2)'!E1173,0)</f>
        <v>0</v>
      </c>
    </row>
    <row r="1174" spans="1:6" s="28" customFormat="1" x14ac:dyDescent="0.25">
      <c r="A1174" s="38">
        <v>18</v>
      </c>
      <c r="B1174" s="34" t="s">
        <v>984</v>
      </c>
      <c r="C1174" s="18" t="s">
        <v>614</v>
      </c>
      <c r="D1174" s="32" t="s">
        <v>2326</v>
      </c>
      <c r="E1174" s="5">
        <f>IF('зведена (БАЛАНС) (2)'!E1174&gt;'зведена (БАЛАНС) (2)'!F1174,'зведена (БАЛАНС) (2)'!E1174-'зведена (БАЛАНС) (2)'!F1174,0)</f>
        <v>0</v>
      </c>
      <c r="F1174" s="5">
        <f>IF('зведена (БАЛАНС) (2)'!F1174&gt;'зведена (БАЛАНС) (2)'!E1174,'зведена (БАЛАНС) (2)'!F1174-'зведена (БАЛАНС) (2)'!E1174,0)</f>
        <v>3381.6</v>
      </c>
    </row>
    <row r="1175" spans="1:6" s="28" customFormat="1" x14ac:dyDescent="0.25">
      <c r="A1175" s="38">
        <v>18</v>
      </c>
      <c r="B1175" s="34" t="s">
        <v>984</v>
      </c>
      <c r="C1175" s="18" t="s">
        <v>615</v>
      </c>
      <c r="D1175" s="32" t="s">
        <v>2327</v>
      </c>
      <c r="E1175" s="5">
        <f>IF('зведена (БАЛАНС) (2)'!E1175&gt;'зведена (БАЛАНС) (2)'!F1175,'зведена (БАЛАНС) (2)'!E1175-'зведена (БАЛАНС) (2)'!F1175,0)</f>
        <v>7336.4</v>
      </c>
      <c r="F1175" s="5">
        <f>IF('зведена (БАЛАНС) (2)'!F1175&gt;'зведена (БАЛАНС) (2)'!E1175,'зведена (БАЛАНС) (2)'!F1175-'зведена (БАЛАНС) (2)'!E1175,0)</f>
        <v>0</v>
      </c>
    </row>
    <row r="1176" spans="1:6" s="28" customFormat="1" x14ac:dyDescent="0.25">
      <c r="A1176" s="38">
        <v>18</v>
      </c>
      <c r="B1176" s="34" t="s">
        <v>984</v>
      </c>
      <c r="C1176" s="18" t="s">
        <v>616</v>
      </c>
      <c r="D1176" s="32" t="s">
        <v>2328</v>
      </c>
      <c r="E1176" s="5">
        <f>IF('зведена (БАЛАНС) (2)'!E1176&gt;'зведена (БАЛАНС) (2)'!F1176,'зведена (БАЛАНС) (2)'!E1176-'зведена (БАЛАНС) (2)'!F1176,0)</f>
        <v>242.3</v>
      </c>
      <c r="F1176" s="5">
        <f>IF('зведена (БАЛАНС) (2)'!F1176&gt;'зведена (БАЛАНС) (2)'!E1176,'зведена (БАЛАНС) (2)'!F1176-'зведена (БАЛАНС) (2)'!E1176,0)</f>
        <v>0</v>
      </c>
    </row>
    <row r="1177" spans="1:6" s="28" customFormat="1" x14ac:dyDescent="0.25">
      <c r="A1177" s="38">
        <v>18</v>
      </c>
      <c r="B1177" s="34" t="s">
        <v>984</v>
      </c>
      <c r="C1177" s="18" t="s">
        <v>617</v>
      </c>
      <c r="D1177" s="32" t="s">
        <v>2329</v>
      </c>
      <c r="E1177" s="5">
        <f>IF('зведена (БАЛАНС) (2)'!E1177&gt;'зведена (БАЛАНС) (2)'!F1177,'зведена (БАЛАНС) (2)'!E1177-'зведена (БАЛАНС) (2)'!F1177,0)</f>
        <v>0</v>
      </c>
      <c r="F1177" s="5">
        <f>IF('зведена (БАЛАНС) (2)'!F1177&gt;'зведена (БАЛАНС) (2)'!E1177,'зведена (БАЛАНС) (2)'!F1177-'зведена (БАЛАНС) (2)'!E1177,0)</f>
        <v>3234.1</v>
      </c>
    </row>
    <row r="1178" spans="1:6" s="27" customFormat="1" x14ac:dyDescent="0.25">
      <c r="A1178" s="38">
        <v>18</v>
      </c>
      <c r="B1178" s="34" t="s">
        <v>985</v>
      </c>
      <c r="C1178" s="18" t="s">
        <v>618</v>
      </c>
      <c r="D1178" s="32" t="s">
        <v>2330</v>
      </c>
      <c r="E1178" s="5">
        <f>IF('зведена (БАЛАНС) (2)'!E1178&gt;'зведена (БАЛАНС) (2)'!F1178,'зведена (БАЛАНС) (2)'!E1178-'зведена (БАЛАНС) (2)'!F1178,0)</f>
        <v>2585.6</v>
      </c>
      <c r="F1178" s="5">
        <f>IF('зведена (БАЛАНС) (2)'!F1178&gt;'зведена (БАЛАНС) (2)'!E1178,'зведена (БАЛАНС) (2)'!F1178-'зведена (БАЛАНС) (2)'!E1178,0)</f>
        <v>0</v>
      </c>
    </row>
    <row r="1179" spans="1:6" x14ac:dyDescent="0.25">
      <c r="A1179" s="38">
        <v>18</v>
      </c>
      <c r="B1179" s="34" t="s">
        <v>983</v>
      </c>
      <c r="C1179" s="18" t="s">
        <v>619</v>
      </c>
      <c r="D1179" s="32" t="s">
        <v>2331</v>
      </c>
      <c r="E1179" s="5">
        <f>IF('зведена (БАЛАНС) (2)'!E1179&gt;'зведена (БАЛАНС) (2)'!F1179,'зведена (БАЛАНС) (2)'!E1179-'зведена (БАЛАНС) (2)'!F1179,0)</f>
        <v>0</v>
      </c>
      <c r="F1179" s="5">
        <f>IF('зведена (БАЛАНС) (2)'!F1179&gt;'зведена (БАЛАНС) (2)'!E1179,'зведена (БАЛАНС) (2)'!F1179-'зведена (БАЛАНС) (2)'!E1179,0)</f>
        <v>0</v>
      </c>
    </row>
    <row r="1180" spans="1:6" x14ac:dyDescent="0.25">
      <c r="A1180" s="38">
        <v>18</v>
      </c>
      <c r="B1180" s="34" t="s">
        <v>984</v>
      </c>
      <c r="C1180" s="18" t="s">
        <v>620</v>
      </c>
      <c r="D1180" s="32" t="s">
        <v>2332</v>
      </c>
      <c r="E1180" s="5">
        <f>IF('зведена (БАЛАНС) (2)'!E1180&gt;'зведена (БАЛАНС) (2)'!F1180,'зведена (БАЛАНС) (2)'!E1180-'зведена (БАЛАНС) (2)'!F1180,0)</f>
        <v>0</v>
      </c>
      <c r="F1180" s="5">
        <f>IF('зведена (БАЛАНС) (2)'!F1180&gt;'зведена (БАЛАНС) (2)'!E1180,'зведена (БАЛАНС) (2)'!F1180-'зведена (БАЛАНС) (2)'!E1180,0)</f>
        <v>6268.8</v>
      </c>
    </row>
    <row r="1181" spans="1:6" x14ac:dyDescent="0.25">
      <c r="A1181" s="38">
        <v>18</v>
      </c>
      <c r="B1181" s="34" t="s">
        <v>985</v>
      </c>
      <c r="C1181" s="18" t="s">
        <v>715</v>
      </c>
      <c r="D1181" s="32" t="s">
        <v>2333</v>
      </c>
      <c r="E1181" s="5">
        <f>IF('зведена (БАЛАНС) (2)'!E1181&gt;'зведена (БАЛАНС) (2)'!F1181,'зведена (БАЛАНС) (2)'!E1181-'зведена (БАЛАНС) (2)'!F1181,0)</f>
        <v>0</v>
      </c>
      <c r="F1181" s="5">
        <f>IF('зведена (БАЛАНС) (2)'!F1181&gt;'зведена (БАЛАНС) (2)'!E1181,'зведена (БАЛАНС) (2)'!F1181-'зведена (БАЛАНС) (2)'!E1181,0)</f>
        <v>5402.4</v>
      </c>
    </row>
    <row r="1182" spans="1:6" x14ac:dyDescent="0.25">
      <c r="A1182" s="38">
        <v>18</v>
      </c>
      <c r="B1182" s="34" t="s">
        <v>984</v>
      </c>
      <c r="C1182" s="18">
        <v>18529000000</v>
      </c>
      <c r="D1182" s="32" t="s">
        <v>2334</v>
      </c>
      <c r="E1182" s="5">
        <f>IF('зведена (БАЛАНС) (2)'!E1182&gt;'зведена (БАЛАНС) (2)'!F1182,'зведена (БАЛАНС) (2)'!E1182-'зведена (БАЛАНС) (2)'!F1182,0)</f>
        <v>0</v>
      </c>
      <c r="F1182" s="5">
        <f>IF('зведена (БАЛАНС) (2)'!F1182&gt;'зведена (БАЛАНС) (2)'!E1182,'зведена (БАЛАНС) (2)'!F1182-'зведена (БАЛАНС) (2)'!E1182,0)</f>
        <v>0</v>
      </c>
    </row>
    <row r="1183" spans="1:6" x14ac:dyDescent="0.25">
      <c r="A1183" s="38">
        <v>18</v>
      </c>
      <c r="B1183" s="34" t="s">
        <v>986</v>
      </c>
      <c r="C1183" s="18">
        <v>18530000000</v>
      </c>
      <c r="D1183" s="32" t="s">
        <v>3092</v>
      </c>
      <c r="E1183" s="5">
        <f>IF('зведена (БАЛАНС) (2)'!E1183&gt;'зведена (БАЛАНС) (2)'!F1183,'зведена (БАЛАНС) (2)'!E1183-'зведена (БАЛАНС) (2)'!F1183,0)</f>
        <v>0</v>
      </c>
      <c r="F1183" s="5">
        <f>IF('зведена (БАЛАНС) (2)'!F1183&gt;'зведена (БАЛАНС) (2)'!E1183,'зведена (БАЛАНС) (2)'!F1183-'зведена (БАЛАНС) (2)'!E1183,0)</f>
        <v>49986.3</v>
      </c>
    </row>
    <row r="1184" spans="1:6" x14ac:dyDescent="0.25">
      <c r="A1184" s="38">
        <v>18</v>
      </c>
      <c r="B1184" s="34" t="s">
        <v>986</v>
      </c>
      <c r="C1184" s="18">
        <v>18531000000</v>
      </c>
      <c r="D1184" s="32" t="s">
        <v>3093</v>
      </c>
      <c r="E1184" s="5">
        <f>IF('зведена (БАЛАНС) (2)'!E1184&gt;'зведена (БАЛАНС) (2)'!F1184,'зведена (БАЛАНС) (2)'!E1184-'зведена (БАЛАНС) (2)'!F1184,0)</f>
        <v>169940.1</v>
      </c>
      <c r="F1184" s="5">
        <f>IF('зведена (БАЛАНС) (2)'!F1184&gt;'зведена (БАЛАНС) (2)'!E1184,'зведена (БАЛАНС) (2)'!F1184-'зведена (БАЛАНС) (2)'!E1184,0)</f>
        <v>0</v>
      </c>
    </row>
    <row r="1185" spans="1:6" x14ac:dyDescent="0.25">
      <c r="A1185" s="38">
        <v>18</v>
      </c>
      <c r="B1185" s="34" t="s">
        <v>985</v>
      </c>
      <c r="C1185" s="18">
        <v>18532000000</v>
      </c>
      <c r="D1185" s="32" t="s">
        <v>3094</v>
      </c>
      <c r="E1185" s="5">
        <f>IF('зведена (БАЛАНС) (2)'!E1185&gt;'зведена (БАЛАНС) (2)'!F1185,'зведена (БАЛАНС) (2)'!E1185-'зведена (БАЛАНС) (2)'!F1185,0)</f>
        <v>4265.3</v>
      </c>
      <c r="F1185" s="5">
        <f>IF('зведена (БАЛАНС) (2)'!F1185&gt;'зведена (БАЛАНС) (2)'!E1185,'зведена (БАЛАНС) (2)'!F1185-'зведена (БАЛАНС) (2)'!E1185,0)</f>
        <v>0</v>
      </c>
    </row>
    <row r="1186" spans="1:6" x14ac:dyDescent="0.25">
      <c r="A1186" s="38">
        <v>18</v>
      </c>
      <c r="B1186" s="34" t="s">
        <v>984</v>
      </c>
      <c r="C1186" s="18">
        <v>18533000000</v>
      </c>
      <c r="D1186" s="32" t="s">
        <v>3095</v>
      </c>
      <c r="E1186" s="5">
        <f>IF('зведена (БАЛАНС) (2)'!E1186&gt;'зведена (БАЛАНС) (2)'!F1186,'зведена (БАЛАНС) (2)'!E1186-'зведена (БАЛАНС) (2)'!F1186,0)</f>
        <v>0</v>
      </c>
      <c r="F1186" s="5">
        <f>IF('зведена (БАЛАНС) (2)'!F1186&gt;'зведена (БАЛАНС) (2)'!E1186,'зведена (БАЛАНС) (2)'!F1186-'зведена (БАЛАНС) (2)'!E1186,0)</f>
        <v>0</v>
      </c>
    </row>
    <row r="1187" spans="1:6" x14ac:dyDescent="0.25">
      <c r="A1187" s="38">
        <v>18</v>
      </c>
      <c r="B1187" s="34" t="s">
        <v>986</v>
      </c>
      <c r="C1187" s="18">
        <v>18534000000</v>
      </c>
      <c r="D1187" s="32" t="s">
        <v>3096</v>
      </c>
      <c r="E1187" s="5">
        <f>IF('зведена (БАЛАНС) (2)'!E1187&gt;'зведена (БАЛАНС) (2)'!F1187,'зведена (БАЛАНС) (2)'!E1187-'зведена (БАЛАНС) (2)'!F1187,0)</f>
        <v>0</v>
      </c>
      <c r="F1187" s="5">
        <f>IF('зведена (БАЛАНС) (2)'!F1187&gt;'зведена (БАЛАНС) (2)'!E1187,'зведена (БАЛАНС) (2)'!F1187-'зведена (БАЛАНС) (2)'!E1187,0)</f>
        <v>5947</v>
      </c>
    </row>
    <row r="1188" spans="1:6" x14ac:dyDescent="0.25">
      <c r="A1188" s="38">
        <v>18</v>
      </c>
      <c r="B1188" s="34" t="s">
        <v>983</v>
      </c>
      <c r="C1188" s="18">
        <v>18535000000</v>
      </c>
      <c r="D1188" s="32" t="s">
        <v>3097</v>
      </c>
      <c r="E1188" s="5">
        <f>IF('зведена (БАЛАНС) (2)'!E1188&gt;'зведена (БАЛАНС) (2)'!F1188,'зведена (БАЛАНС) (2)'!E1188-'зведена (БАЛАНС) (2)'!F1188,0)</f>
        <v>0</v>
      </c>
      <c r="F1188" s="5">
        <f>IF('зведена (БАЛАНС) (2)'!F1188&gt;'зведена (БАЛАНС) (2)'!E1188,'зведена (БАЛАНС) (2)'!F1188-'зведена (БАЛАНС) (2)'!E1188,0)</f>
        <v>8248.5</v>
      </c>
    </row>
    <row r="1189" spans="1:6" x14ac:dyDescent="0.25">
      <c r="A1189" s="38">
        <v>18</v>
      </c>
      <c r="B1189" s="34" t="s">
        <v>984</v>
      </c>
      <c r="C1189" s="18">
        <v>18536000000</v>
      </c>
      <c r="D1189" s="32" t="s">
        <v>3098</v>
      </c>
      <c r="E1189" s="5">
        <f>IF('зведена (БАЛАНС) (2)'!E1189&gt;'зведена (БАЛАНС) (2)'!F1189,'зведена (БАЛАНС) (2)'!E1189-'зведена (БАЛАНС) (2)'!F1189,0)</f>
        <v>0</v>
      </c>
      <c r="F1189" s="5">
        <f>IF('зведена (БАЛАНС) (2)'!F1189&gt;'зведена (БАЛАНС) (2)'!E1189,'зведена (БАЛАНС) (2)'!F1189-'зведена (БАЛАНС) (2)'!E1189,0)</f>
        <v>0</v>
      </c>
    </row>
    <row r="1190" spans="1:6" x14ac:dyDescent="0.25">
      <c r="A1190" s="38">
        <v>18</v>
      </c>
      <c r="B1190" s="34" t="s">
        <v>986</v>
      </c>
      <c r="C1190" s="18">
        <v>18537000000</v>
      </c>
      <c r="D1190" s="32" t="s">
        <v>3099</v>
      </c>
      <c r="E1190" s="5">
        <f>IF('зведена (БАЛАНС) (2)'!E1190&gt;'зведена (БАЛАНС) (2)'!F1190,'зведена (БАЛАНС) (2)'!E1190-'зведена (БАЛАНС) (2)'!F1190,0)</f>
        <v>0</v>
      </c>
      <c r="F1190" s="5">
        <f>IF('зведена (БАЛАНС) (2)'!F1190&gt;'зведена (БАЛАНС) (2)'!E1190,'зведена (БАЛАНС) (2)'!F1190-'зведена (БАЛАНС) (2)'!E1190,0)</f>
        <v>0</v>
      </c>
    </row>
    <row r="1191" spans="1:6" x14ac:dyDescent="0.25">
      <c r="A1191" s="38">
        <v>18</v>
      </c>
      <c r="B1191" s="34" t="s">
        <v>983</v>
      </c>
      <c r="C1191" s="18">
        <v>18538000000</v>
      </c>
      <c r="D1191" s="32" t="s">
        <v>3100</v>
      </c>
      <c r="E1191" s="5">
        <f>IF('зведена (БАЛАНС) (2)'!E1191&gt;'зведена (БАЛАНС) (2)'!F1191,'зведена (БАЛАНС) (2)'!E1191-'зведена (БАЛАНС) (2)'!F1191,0)</f>
        <v>0</v>
      </c>
      <c r="F1191" s="5">
        <f>IF('зведена (БАЛАНС) (2)'!F1191&gt;'зведена (БАЛАНС) (2)'!E1191,'зведена (БАЛАНС) (2)'!F1191-'зведена (БАЛАНС) (2)'!E1191,0)</f>
        <v>18035.2</v>
      </c>
    </row>
    <row r="1192" spans="1:6" x14ac:dyDescent="0.25">
      <c r="A1192" s="38">
        <v>18</v>
      </c>
      <c r="B1192" s="34" t="s">
        <v>985</v>
      </c>
      <c r="C1192" s="18">
        <v>18539000000</v>
      </c>
      <c r="D1192" s="32" t="s">
        <v>2344</v>
      </c>
      <c r="E1192" s="5">
        <f>IF('зведена (БАЛАНС) (2)'!E1192&gt;'зведена (БАЛАНС) (2)'!F1192,'зведена (БАЛАНС) (2)'!E1192-'зведена (БАЛАНС) (2)'!F1192,0)</f>
        <v>0</v>
      </c>
      <c r="F1192" s="5">
        <f>IF('зведена (БАЛАНС) (2)'!F1192&gt;'зведена (БАЛАНС) (2)'!E1192,'зведена (БАЛАНС) (2)'!F1192-'зведена (БАЛАНС) (2)'!E1192,0)</f>
        <v>0</v>
      </c>
    </row>
    <row r="1193" spans="1:6" x14ac:dyDescent="0.25">
      <c r="A1193" s="38">
        <v>18</v>
      </c>
      <c r="B1193" s="34" t="s">
        <v>983</v>
      </c>
      <c r="C1193" s="18">
        <v>18540000000</v>
      </c>
      <c r="D1193" s="32" t="s">
        <v>2345</v>
      </c>
      <c r="E1193" s="5">
        <f>IF('зведена (БАЛАНС) (2)'!E1193&gt;'зведена (БАЛАНС) (2)'!F1193,'зведена (БАЛАНС) (2)'!E1193-'зведена (БАЛАНС) (2)'!F1193,0)</f>
        <v>0</v>
      </c>
      <c r="F1193" s="5">
        <f>IF('зведена (БАЛАНС) (2)'!F1193&gt;'зведена (БАЛАНС) (2)'!E1193,'зведена (БАЛАНС) (2)'!F1193-'зведена (БАЛАНС) (2)'!E1193,0)</f>
        <v>12013.7</v>
      </c>
    </row>
    <row r="1194" spans="1:6" x14ac:dyDescent="0.25">
      <c r="A1194" s="38">
        <v>18</v>
      </c>
      <c r="B1194" s="34" t="s">
        <v>986</v>
      </c>
      <c r="C1194" s="18">
        <v>18541000000</v>
      </c>
      <c r="D1194" s="32" t="s">
        <v>2346</v>
      </c>
      <c r="E1194" s="5">
        <f>IF('зведена (БАЛАНС) (2)'!E1194&gt;'зведена (БАЛАНС) (2)'!F1194,'зведена (БАЛАНС) (2)'!E1194-'зведена (БАЛАНС) (2)'!F1194,0)</f>
        <v>0</v>
      </c>
      <c r="F1194" s="5">
        <f>IF('зведена (БАЛАНС) (2)'!F1194&gt;'зведена (БАЛАНС) (2)'!E1194,'зведена (БАЛАНС) (2)'!F1194-'зведена (БАЛАНС) (2)'!E1194,0)</f>
        <v>17101.599999999999</v>
      </c>
    </row>
    <row r="1195" spans="1:6" x14ac:dyDescent="0.25">
      <c r="A1195" s="38">
        <v>18</v>
      </c>
      <c r="B1195" s="34" t="s">
        <v>985</v>
      </c>
      <c r="C1195" s="18">
        <v>18542000000</v>
      </c>
      <c r="D1195" s="32" t="s">
        <v>2347</v>
      </c>
      <c r="E1195" s="5">
        <f>IF('зведена (БАЛАНС) (2)'!E1195&gt;'зведена (БАЛАНС) (2)'!F1195,'зведена (БАЛАНС) (2)'!E1195-'зведена (БАЛАНС) (2)'!F1195,0)</f>
        <v>525</v>
      </c>
      <c r="F1195" s="5">
        <f>IF('зведена (БАЛАНС) (2)'!F1195&gt;'зведена (БАЛАНС) (2)'!E1195,'зведена (БАЛАНС) (2)'!F1195-'зведена (БАЛАНС) (2)'!E1195,0)</f>
        <v>0</v>
      </c>
    </row>
    <row r="1196" spans="1:6" x14ac:dyDescent="0.25">
      <c r="A1196" s="38">
        <v>18</v>
      </c>
      <c r="B1196" s="34" t="s">
        <v>986</v>
      </c>
      <c r="C1196" s="18">
        <v>18543000000</v>
      </c>
      <c r="D1196" s="32" t="s">
        <v>2348</v>
      </c>
      <c r="E1196" s="5">
        <f>IF('зведена (БАЛАНС) (2)'!E1196&gt;'зведена (БАЛАНС) (2)'!F1196,'зведена (БАЛАНС) (2)'!E1196-'зведена (БАЛАНС) (2)'!F1196,0)</f>
        <v>0</v>
      </c>
      <c r="F1196" s="5">
        <f>IF('зведена (БАЛАНС) (2)'!F1196&gt;'зведена (БАЛАНС) (2)'!E1196,'зведена (БАЛАНС) (2)'!F1196-'зведена (БАЛАНС) (2)'!E1196,0)</f>
        <v>22936.5</v>
      </c>
    </row>
    <row r="1197" spans="1:6" x14ac:dyDescent="0.25">
      <c r="A1197" s="38">
        <v>18</v>
      </c>
      <c r="B1197" s="34" t="s">
        <v>984</v>
      </c>
      <c r="C1197" s="18">
        <v>18544000000</v>
      </c>
      <c r="D1197" s="32" t="s">
        <v>2349</v>
      </c>
      <c r="E1197" s="5">
        <f>IF('зведена (БАЛАНС) (2)'!E1197&gt;'зведена (БАЛАНС) (2)'!F1197,'зведена (БАЛАНС) (2)'!E1197-'зведена (БАЛАНС) (2)'!F1197,0)</f>
        <v>0</v>
      </c>
      <c r="F1197" s="5">
        <f>IF('зведена (БАЛАНС) (2)'!F1197&gt;'зведена (БАЛАНС) (2)'!E1197,'зведена (БАЛАНС) (2)'!F1197-'зведена (БАЛАНС) (2)'!E1197,0)</f>
        <v>5101.6000000000004</v>
      </c>
    </row>
    <row r="1198" spans="1:6" x14ac:dyDescent="0.25">
      <c r="A1198" s="38">
        <v>18</v>
      </c>
      <c r="B1198" s="34" t="s">
        <v>986</v>
      </c>
      <c r="C1198" s="18">
        <v>18545000000</v>
      </c>
      <c r="D1198" s="32" t="s">
        <v>2350</v>
      </c>
      <c r="E1198" s="5">
        <f>IF('зведена (БАЛАНС) (2)'!E1198&gt;'зведена (БАЛАНС) (2)'!F1198,'зведена (БАЛАНС) (2)'!E1198-'зведена (БАЛАНС) (2)'!F1198,0)</f>
        <v>0</v>
      </c>
      <c r="F1198" s="5">
        <f>IF('зведена (БАЛАНС) (2)'!F1198&gt;'зведена (БАЛАНС) (2)'!E1198,'зведена (БАЛАНС) (2)'!F1198-'зведена (БАЛАНС) (2)'!E1198,0)</f>
        <v>0</v>
      </c>
    </row>
    <row r="1199" spans="1:6" x14ac:dyDescent="0.25">
      <c r="A1199" s="38">
        <v>18</v>
      </c>
      <c r="B1199" s="34" t="s">
        <v>984</v>
      </c>
      <c r="C1199" s="18">
        <v>18546000000</v>
      </c>
      <c r="D1199" s="32" t="s">
        <v>2351</v>
      </c>
      <c r="E1199" s="5">
        <f>IF('зведена (БАЛАНС) (2)'!E1199&gt;'зведена (БАЛАНС) (2)'!F1199,'зведена (БАЛАНС) (2)'!E1199-'зведена (БАЛАНС) (2)'!F1199,0)</f>
        <v>0</v>
      </c>
      <c r="F1199" s="5">
        <f>IF('зведена (БАЛАНС) (2)'!F1199&gt;'зведена (БАЛАНС) (2)'!E1199,'зведена (БАЛАНС) (2)'!F1199-'зведена (БАЛАНС) (2)'!E1199,0)</f>
        <v>0</v>
      </c>
    </row>
    <row r="1200" spans="1:6" x14ac:dyDescent="0.25">
      <c r="A1200" s="38">
        <v>18</v>
      </c>
      <c r="B1200" s="34" t="s">
        <v>985</v>
      </c>
      <c r="C1200" s="18">
        <v>18547000000</v>
      </c>
      <c r="D1200" s="32" t="s">
        <v>2352</v>
      </c>
      <c r="E1200" s="5">
        <f>IF('зведена (БАЛАНС) (2)'!E1200&gt;'зведена (БАЛАНС) (2)'!F1200,'зведена (БАЛАНС) (2)'!E1200-'зведена (БАЛАНС) (2)'!F1200,0)</f>
        <v>0</v>
      </c>
      <c r="F1200" s="5">
        <f>IF('зведена (БАЛАНС) (2)'!F1200&gt;'зведена (БАЛАНС) (2)'!E1200,'зведена (БАЛАНС) (2)'!F1200-'зведена (БАЛАНС) (2)'!E1200,0)</f>
        <v>10609.5</v>
      </c>
    </row>
    <row r="1201" spans="1:6" x14ac:dyDescent="0.25">
      <c r="A1201" s="38">
        <v>18</v>
      </c>
      <c r="B1201" s="34" t="s">
        <v>983</v>
      </c>
      <c r="C1201" s="18">
        <v>18548000000</v>
      </c>
      <c r="D1201" s="32" t="s">
        <v>2353</v>
      </c>
      <c r="E1201" s="5">
        <f>IF('зведена (БАЛАНС) (2)'!E1201&gt;'зведена (БАЛАНС) (2)'!F1201,'зведена (БАЛАНС) (2)'!E1201-'зведена (БАЛАНС) (2)'!F1201,0)</f>
        <v>0</v>
      </c>
      <c r="F1201" s="5">
        <f>IF('зведена (БАЛАНС) (2)'!F1201&gt;'зведена (БАЛАНС) (2)'!E1201,'зведена (БАЛАНС) (2)'!F1201-'зведена (БАЛАНС) (2)'!E1201,0)</f>
        <v>9124.9</v>
      </c>
    </row>
    <row r="1202" spans="1:6" x14ac:dyDescent="0.25">
      <c r="A1202" s="38">
        <v>18</v>
      </c>
      <c r="B1202" s="34" t="s">
        <v>984</v>
      </c>
      <c r="C1202" s="18">
        <v>18549000000</v>
      </c>
      <c r="D1202" s="32" t="s">
        <v>2354</v>
      </c>
      <c r="E1202" s="5">
        <f>IF('зведена (БАЛАНС) (2)'!E1202&gt;'зведена (БАЛАНС) (2)'!F1202,'зведена (БАЛАНС) (2)'!E1202-'зведена (БАЛАНС) (2)'!F1202,0)</f>
        <v>0</v>
      </c>
      <c r="F1202" s="5">
        <f>IF('зведена (БАЛАНС) (2)'!F1202&gt;'зведена (БАЛАНС) (2)'!E1202,'зведена (БАЛАНС) (2)'!F1202-'зведена (БАЛАНС) (2)'!E1202,0)</f>
        <v>3981</v>
      </c>
    </row>
    <row r="1203" spans="1:6" x14ac:dyDescent="0.25">
      <c r="A1203" s="38">
        <v>18</v>
      </c>
      <c r="B1203" s="34" t="s">
        <v>984</v>
      </c>
      <c r="C1203" s="18">
        <v>18550000000</v>
      </c>
      <c r="D1203" s="32" t="s">
        <v>2355</v>
      </c>
      <c r="E1203" s="5">
        <f>IF('зведена (БАЛАНС) (2)'!E1203&gt;'зведена (БАЛАНС) (2)'!F1203,'зведена (БАЛАНС) (2)'!E1203-'зведена (БАЛАНС) (2)'!F1203,0)</f>
        <v>0</v>
      </c>
      <c r="F1203" s="5">
        <f>IF('зведена (БАЛАНС) (2)'!F1203&gt;'зведена (БАЛАНС) (2)'!E1203,'зведена (БАЛАНС) (2)'!F1203-'зведена (БАЛАНС) (2)'!E1203,0)</f>
        <v>0</v>
      </c>
    </row>
    <row r="1204" spans="1:6" x14ac:dyDescent="0.25">
      <c r="A1204" s="38">
        <v>18</v>
      </c>
      <c r="B1204" s="34" t="s">
        <v>985</v>
      </c>
      <c r="C1204" s="18">
        <v>18551000000</v>
      </c>
      <c r="D1204" s="32" t="s">
        <v>2356</v>
      </c>
      <c r="E1204" s="5">
        <f>IF('зведена (БАЛАНС) (2)'!E1204&gt;'зведена (БАЛАНС) (2)'!F1204,'зведена (БАЛАНС) (2)'!E1204-'зведена (БАЛАНС) (2)'!F1204,0)</f>
        <v>0</v>
      </c>
      <c r="F1204" s="5">
        <f>IF('зведена (БАЛАНС) (2)'!F1204&gt;'зведена (БАЛАНС) (2)'!E1204,'зведена (БАЛАНС) (2)'!F1204-'зведена (БАЛАНС) (2)'!E1204,0)</f>
        <v>3734.1</v>
      </c>
    </row>
    <row r="1205" spans="1:6" x14ac:dyDescent="0.25">
      <c r="A1205" s="36">
        <v>19</v>
      </c>
      <c r="B1205" s="17" t="s">
        <v>7</v>
      </c>
      <c r="C1205" s="17" t="s">
        <v>808</v>
      </c>
      <c r="D1205" s="11" t="s">
        <v>21</v>
      </c>
      <c r="E1205" s="11">
        <f>E1206+E1207+E1211</f>
        <v>114825</v>
      </c>
      <c r="F1205" s="11">
        <f>F1206+F1207+F1211</f>
        <v>921419.79999999981</v>
      </c>
    </row>
    <row r="1206" spans="1:6" x14ac:dyDescent="0.25">
      <c r="A1206" s="38">
        <v>19</v>
      </c>
      <c r="B1206" s="34" t="s">
        <v>6</v>
      </c>
      <c r="C1206" s="18" t="s">
        <v>173</v>
      </c>
      <c r="D1206" s="32" t="s">
        <v>857</v>
      </c>
      <c r="E1206" s="5">
        <f>IF('зведена (БАЛАНС) (2)'!E1206&gt;'зведена (БАЛАНС) (2)'!F1206,'зведена (БАЛАНС) (2)'!E1206-'зведена (БАЛАНС) (2)'!F1206,0)</f>
        <v>0</v>
      </c>
      <c r="F1206" s="5">
        <f>IF('зведена (БАЛАНС) (2)'!F1206&gt;'зведена (БАЛАНС) (2)'!E1206,'зведена (БАЛАНС) (2)'!F1206-'зведена (БАЛАНС) (2)'!E1206,0)</f>
        <v>157108.6</v>
      </c>
    </row>
    <row r="1207" spans="1:6" x14ac:dyDescent="0.25">
      <c r="A1207" s="37">
        <v>19</v>
      </c>
      <c r="B1207" s="19" t="s">
        <v>5</v>
      </c>
      <c r="C1207" s="19" t="s">
        <v>809</v>
      </c>
      <c r="D1207" s="7" t="s">
        <v>2812</v>
      </c>
      <c r="E1207" s="7">
        <f>SUM(E1208:E1210)</f>
        <v>0</v>
      </c>
      <c r="F1207" s="7">
        <f>SUM(F1208:F1210)</f>
        <v>0</v>
      </c>
    </row>
    <row r="1208" spans="1:6" s="28" customFormat="1" x14ac:dyDescent="0.25">
      <c r="A1208" s="38">
        <v>19</v>
      </c>
      <c r="B1208" s="34" t="s">
        <v>4</v>
      </c>
      <c r="C1208" s="18" t="s">
        <v>174</v>
      </c>
      <c r="D1208" s="32" t="s">
        <v>949</v>
      </c>
      <c r="E1208" s="5">
        <f>IF('зведена (БАЛАНС) (2)'!E1208&gt;'зведена (БАЛАНС) (2)'!F1208,'зведена (БАЛАНС) (2)'!E1208-'зведена (БАЛАНС) (2)'!F1208,0)</f>
        <v>0</v>
      </c>
      <c r="F1208" s="5">
        <f>IF('зведена (БАЛАНС) (2)'!F1208&gt;'зведена (БАЛАНС) (2)'!E1208,'зведена (БАЛАНС) (2)'!F1208-'зведена (БАЛАНС) (2)'!E1208,0)</f>
        <v>0</v>
      </c>
    </row>
    <row r="1209" spans="1:6" s="28" customFormat="1" x14ac:dyDescent="0.25">
      <c r="A1209" s="38">
        <v>19</v>
      </c>
      <c r="B1209" s="34" t="s">
        <v>4</v>
      </c>
      <c r="C1209" s="18" t="s">
        <v>175</v>
      </c>
      <c r="D1209" s="32" t="s">
        <v>950</v>
      </c>
      <c r="E1209" s="5">
        <f>IF('зведена (БАЛАНС) (2)'!E1209&gt;'зведена (БАЛАНС) (2)'!F1209,'зведена (БАЛАНС) (2)'!E1209-'зведена (БАЛАНС) (2)'!F1209,0)</f>
        <v>0</v>
      </c>
      <c r="F1209" s="5">
        <f>IF('зведена (БАЛАНС) (2)'!F1209&gt;'зведена (БАЛАНС) (2)'!E1209,'зведена (БАЛАНС) (2)'!F1209-'зведена (БАЛАНС) (2)'!E1209,0)</f>
        <v>0</v>
      </c>
    </row>
    <row r="1210" spans="1:6" s="28" customFormat="1" x14ac:dyDescent="0.25">
      <c r="A1210" s="38">
        <v>19</v>
      </c>
      <c r="B1210" s="34" t="s">
        <v>4</v>
      </c>
      <c r="C1210" s="18" t="s">
        <v>176</v>
      </c>
      <c r="D1210" s="32" t="s">
        <v>951</v>
      </c>
      <c r="E1210" s="5">
        <f>IF('зведена (БАЛАНС) (2)'!E1210&gt;'зведена (БАЛАНС) (2)'!F1210,'зведена (БАЛАНС) (2)'!E1210-'зведена (БАЛАНС) (2)'!F1210,0)</f>
        <v>0</v>
      </c>
      <c r="F1210" s="5">
        <f>IF('зведена (БАЛАНС) (2)'!F1210&gt;'зведена (БАЛАНС) (2)'!E1210,'зведена (БАЛАНС) (2)'!F1210-'зведена (БАЛАНС) (2)'!E1210,0)</f>
        <v>0</v>
      </c>
    </row>
    <row r="1211" spans="1:6" s="28" customFormat="1" x14ac:dyDescent="0.25">
      <c r="A1211" s="37">
        <v>19</v>
      </c>
      <c r="B1211" s="19" t="s">
        <v>28</v>
      </c>
      <c r="C1211" s="19" t="s">
        <v>810</v>
      </c>
      <c r="D1211" s="20" t="s">
        <v>2785</v>
      </c>
      <c r="E1211" s="7">
        <f>SUM(E1212:E1266)</f>
        <v>114825</v>
      </c>
      <c r="F1211" s="7">
        <f>SUM(F1212:F1266)</f>
        <v>764311.19999999984</v>
      </c>
    </row>
    <row r="1212" spans="1:6" s="28" customFormat="1" x14ac:dyDescent="0.25">
      <c r="A1212" s="38">
        <v>19</v>
      </c>
      <c r="B1212" s="34" t="s">
        <v>984</v>
      </c>
      <c r="C1212" s="18" t="s">
        <v>239</v>
      </c>
      <c r="D1212" s="32" t="s">
        <v>3101</v>
      </c>
      <c r="E1212" s="5">
        <f>IF('зведена (БАЛАНС) (2)'!E1212&gt;'зведена (БАЛАНС) (2)'!F1212,'зведена (БАЛАНС) (2)'!E1212-'зведена (БАЛАНС) (2)'!F1212,0)</f>
        <v>19738.099999999999</v>
      </c>
      <c r="F1212" s="5">
        <f>IF('зведена (БАЛАНС) (2)'!F1212&gt;'зведена (БАЛАНС) (2)'!E1212,'зведена (БАЛАНС) (2)'!F1212-'зведена (БАЛАНС) (2)'!E1212,0)</f>
        <v>0</v>
      </c>
    </row>
    <row r="1213" spans="1:6" s="28" customFormat="1" x14ac:dyDescent="0.25">
      <c r="A1213" s="38">
        <v>19</v>
      </c>
      <c r="B1213" s="34" t="s">
        <v>984</v>
      </c>
      <c r="C1213" s="18" t="s">
        <v>240</v>
      </c>
      <c r="D1213" s="32" t="s">
        <v>2358</v>
      </c>
      <c r="E1213" s="5">
        <f>IF('зведена (БАЛАНС) (2)'!E1213&gt;'зведена (БАЛАНС) (2)'!F1213,'зведена (БАЛАНС) (2)'!E1213-'зведена (БАЛАНС) (2)'!F1213,0)</f>
        <v>0</v>
      </c>
      <c r="F1213" s="5">
        <f>IF('зведена (БАЛАНС) (2)'!F1213&gt;'зведена (БАЛАНС) (2)'!E1213,'зведена (БАЛАНС) (2)'!F1213-'зведена (БАЛАНС) (2)'!E1213,0)</f>
        <v>12672.4</v>
      </c>
    </row>
    <row r="1214" spans="1:6" s="28" customFormat="1" x14ac:dyDescent="0.25">
      <c r="A1214" s="38">
        <v>19</v>
      </c>
      <c r="B1214" s="34" t="s">
        <v>984</v>
      </c>
      <c r="C1214" s="18" t="s">
        <v>241</v>
      </c>
      <c r="D1214" s="32" t="s">
        <v>2359</v>
      </c>
      <c r="E1214" s="5">
        <f>IF('зведена (БАЛАНС) (2)'!E1214&gt;'зведена (БАЛАНС) (2)'!F1214,'зведена (БАЛАНС) (2)'!E1214-'зведена (БАЛАНС) (2)'!F1214,0)</f>
        <v>0</v>
      </c>
      <c r="F1214" s="5">
        <f>IF('зведена (БАЛАНС) (2)'!F1214&gt;'зведена (БАЛАНС) (2)'!E1214,'зведена (БАЛАНС) (2)'!F1214-'зведена (БАЛАНС) (2)'!E1214,0)</f>
        <v>9375.4</v>
      </c>
    </row>
    <row r="1215" spans="1:6" s="29" customFormat="1" x14ac:dyDescent="0.25">
      <c r="A1215" s="38">
        <v>19</v>
      </c>
      <c r="B1215" s="34" t="s">
        <v>984</v>
      </c>
      <c r="C1215" s="18" t="s">
        <v>242</v>
      </c>
      <c r="D1215" s="32" t="s">
        <v>2360</v>
      </c>
      <c r="E1215" s="5">
        <f>IF('зведена (БАЛАНС) (2)'!E1215&gt;'зведена (БАЛАНС) (2)'!F1215,'зведена (БАЛАНС) (2)'!E1215-'зведена (БАЛАНС) (2)'!F1215,0)</f>
        <v>0</v>
      </c>
      <c r="F1215" s="5">
        <f>IF('зведена (БАЛАНС) (2)'!F1215&gt;'зведена (БАЛАНС) (2)'!E1215,'зведена (БАЛАНС) (2)'!F1215-'зведена (БАЛАНС) (2)'!E1215,0)</f>
        <v>5673.6</v>
      </c>
    </row>
    <row r="1216" spans="1:6" s="29" customFormat="1" x14ac:dyDescent="0.25">
      <c r="A1216" s="38">
        <v>19</v>
      </c>
      <c r="B1216" s="34" t="s">
        <v>985</v>
      </c>
      <c r="C1216" s="18" t="s">
        <v>243</v>
      </c>
      <c r="D1216" s="32" t="s">
        <v>2361</v>
      </c>
      <c r="E1216" s="5">
        <f>IF('зведена (БАЛАНС) (2)'!E1216&gt;'зведена (БАЛАНС) (2)'!F1216,'зведена (БАЛАНС) (2)'!E1216-'зведена (БАЛАНС) (2)'!F1216,0)</f>
        <v>0</v>
      </c>
      <c r="F1216" s="5">
        <f>IF('зведена (БАЛАНС) (2)'!F1216&gt;'зведена (БАЛАНС) (2)'!E1216,'зведена (БАЛАНС) (2)'!F1216-'зведена (БАЛАНС) (2)'!E1216,0)</f>
        <v>0</v>
      </c>
    </row>
    <row r="1217" spans="1:6" s="29" customFormat="1" x14ac:dyDescent="0.25">
      <c r="A1217" s="38">
        <v>19</v>
      </c>
      <c r="B1217" s="34" t="s">
        <v>985</v>
      </c>
      <c r="C1217" s="18" t="s">
        <v>244</v>
      </c>
      <c r="D1217" s="32" t="s">
        <v>2362</v>
      </c>
      <c r="E1217" s="5">
        <f>IF('зведена (БАЛАНС) (2)'!E1217&gt;'зведена (БАЛАНС) (2)'!F1217,'зведена (БАЛАНС) (2)'!E1217-'зведена (БАЛАНС) (2)'!F1217,0)</f>
        <v>0</v>
      </c>
      <c r="F1217" s="5">
        <f>IF('зведена (БАЛАНС) (2)'!F1217&gt;'зведена (БАЛАНС) (2)'!E1217,'зведена (БАЛАНС) (2)'!F1217-'зведена (БАЛАНС) (2)'!E1217,0)</f>
        <v>7338.3</v>
      </c>
    </row>
    <row r="1218" spans="1:6" s="28" customFormat="1" x14ac:dyDescent="0.25">
      <c r="A1218" s="38">
        <v>19</v>
      </c>
      <c r="B1218" s="34" t="s">
        <v>984</v>
      </c>
      <c r="C1218" s="18" t="s">
        <v>245</v>
      </c>
      <c r="D1218" s="32" t="s">
        <v>2363</v>
      </c>
      <c r="E1218" s="5">
        <f>IF('зведена (БАЛАНС) (2)'!E1218&gt;'зведена (БАЛАНС) (2)'!F1218,'зведена (БАЛАНС) (2)'!E1218-'зведена (БАЛАНС) (2)'!F1218,0)</f>
        <v>0</v>
      </c>
      <c r="F1218" s="5">
        <f>IF('зведена (БАЛАНС) (2)'!F1218&gt;'зведена (БАЛАНС) (2)'!E1218,'зведена (БАЛАНС) (2)'!F1218-'зведена (БАЛАНС) (2)'!E1218,0)</f>
        <v>8315</v>
      </c>
    </row>
    <row r="1219" spans="1:6" s="28" customFormat="1" x14ac:dyDescent="0.25">
      <c r="A1219" s="38">
        <v>19</v>
      </c>
      <c r="B1219" s="34" t="s">
        <v>985</v>
      </c>
      <c r="C1219" s="18" t="s">
        <v>246</v>
      </c>
      <c r="D1219" s="32" t="s">
        <v>2364</v>
      </c>
      <c r="E1219" s="5">
        <f>IF('зведена (БАЛАНС) (2)'!E1219&gt;'зведена (БАЛАНС) (2)'!F1219,'зведена (БАЛАНС) (2)'!E1219-'зведена (БАЛАНС) (2)'!F1219,0)</f>
        <v>0</v>
      </c>
      <c r="F1219" s="5">
        <f>IF('зведена (БАЛАНС) (2)'!F1219&gt;'зведена (БАЛАНС) (2)'!E1219,'зведена (БАЛАНС) (2)'!F1219-'зведена (БАЛАНС) (2)'!E1219,0)</f>
        <v>27558.799999999999</v>
      </c>
    </row>
    <row r="1220" spans="1:6" s="28" customFormat="1" x14ac:dyDescent="0.25">
      <c r="A1220" s="38">
        <v>19</v>
      </c>
      <c r="B1220" s="34" t="s">
        <v>984</v>
      </c>
      <c r="C1220" s="18" t="s">
        <v>247</v>
      </c>
      <c r="D1220" s="32" t="s">
        <v>2365</v>
      </c>
      <c r="E1220" s="5">
        <f>IF('зведена (БАЛАНС) (2)'!E1220&gt;'зведена (БАЛАНС) (2)'!F1220,'зведена (БАЛАНС) (2)'!E1220-'зведена (БАЛАНС) (2)'!F1220,0)</f>
        <v>0</v>
      </c>
      <c r="F1220" s="5">
        <f>IF('зведена (БАЛАНС) (2)'!F1220&gt;'зведена (БАЛАНС) (2)'!E1220,'зведена (БАЛАНС) (2)'!F1220-'зведена (БАЛАНС) (2)'!E1220,0)</f>
        <v>2295.1999999999998</v>
      </c>
    </row>
    <row r="1221" spans="1:6" s="28" customFormat="1" x14ac:dyDescent="0.25">
      <c r="A1221" s="38">
        <v>19</v>
      </c>
      <c r="B1221" s="34" t="s">
        <v>985</v>
      </c>
      <c r="C1221" s="18" t="s">
        <v>248</v>
      </c>
      <c r="D1221" s="32" t="s">
        <v>2366</v>
      </c>
      <c r="E1221" s="5">
        <f>IF('зведена (БАЛАНС) (2)'!E1221&gt;'зведена (БАЛАНС) (2)'!F1221,'зведена (БАЛАНС) (2)'!E1221-'зведена (БАЛАНС) (2)'!F1221,0)</f>
        <v>0</v>
      </c>
      <c r="F1221" s="5">
        <f>IF('зведена (БАЛАНС) (2)'!F1221&gt;'зведена (БАЛАНС) (2)'!E1221,'зведена (БАЛАНС) (2)'!F1221-'зведена (БАЛАНС) (2)'!E1221,0)</f>
        <v>4961.1000000000004</v>
      </c>
    </row>
    <row r="1222" spans="1:6" s="28" customFormat="1" x14ac:dyDescent="0.25">
      <c r="A1222" s="38">
        <v>19</v>
      </c>
      <c r="B1222" s="34" t="s">
        <v>984</v>
      </c>
      <c r="C1222" s="18" t="s">
        <v>249</v>
      </c>
      <c r="D1222" s="32" t="s">
        <v>2367</v>
      </c>
      <c r="E1222" s="5">
        <f>IF('зведена (БАЛАНС) (2)'!E1222&gt;'зведена (БАЛАНС) (2)'!F1222,'зведена (БАЛАНС) (2)'!E1222-'зведена (БАЛАНС) (2)'!F1222,0)</f>
        <v>0</v>
      </c>
      <c r="F1222" s="5">
        <f>IF('зведена (БАЛАНС) (2)'!F1222&gt;'зведена (БАЛАНС) (2)'!E1222,'зведена (БАЛАНС) (2)'!F1222-'зведена (БАЛАНС) (2)'!E1222,0)</f>
        <v>9778.6</v>
      </c>
    </row>
    <row r="1223" spans="1:6" s="28" customFormat="1" x14ac:dyDescent="0.25">
      <c r="A1223" s="38">
        <v>19</v>
      </c>
      <c r="B1223" s="34" t="s">
        <v>985</v>
      </c>
      <c r="C1223" s="18" t="s">
        <v>250</v>
      </c>
      <c r="D1223" s="32" t="s">
        <v>2368</v>
      </c>
      <c r="E1223" s="5">
        <f>IF('зведена (БАЛАНС) (2)'!E1223&gt;'зведена (БАЛАНС) (2)'!F1223,'зведена (БАЛАНС) (2)'!E1223-'зведена (БАЛАНС) (2)'!F1223,0)</f>
        <v>0</v>
      </c>
      <c r="F1223" s="5">
        <f>IF('зведена (БАЛАНС) (2)'!F1223&gt;'зведена (БАЛАНС) (2)'!E1223,'зведена (БАЛАНС) (2)'!F1223-'зведена (БАЛАНС) (2)'!E1223,0)</f>
        <v>10605</v>
      </c>
    </row>
    <row r="1224" spans="1:6" s="28" customFormat="1" x14ac:dyDescent="0.25">
      <c r="A1224" s="38">
        <v>19</v>
      </c>
      <c r="B1224" s="34" t="s">
        <v>984</v>
      </c>
      <c r="C1224" s="18" t="s">
        <v>251</v>
      </c>
      <c r="D1224" s="32" t="s">
        <v>2369</v>
      </c>
      <c r="E1224" s="5">
        <f>IF('зведена (БАЛАНС) (2)'!E1224&gt;'зведена (БАЛАНС) (2)'!F1224,'зведена (БАЛАНС) (2)'!E1224-'зведена (БАЛАНС) (2)'!F1224,0)</f>
        <v>0</v>
      </c>
      <c r="F1224" s="5">
        <f>IF('зведена (БАЛАНС) (2)'!F1224&gt;'зведена (БАЛАНС) (2)'!E1224,'зведена (БАЛАНС) (2)'!F1224-'зведена (БАЛАНС) (2)'!E1224,0)</f>
        <v>7188.7</v>
      </c>
    </row>
    <row r="1225" spans="1:6" s="28" customFormat="1" ht="31.5" x14ac:dyDescent="0.25">
      <c r="A1225" s="38">
        <v>19</v>
      </c>
      <c r="B1225" s="34" t="s">
        <v>985</v>
      </c>
      <c r="C1225" s="18" t="s">
        <v>252</v>
      </c>
      <c r="D1225" s="32" t="s">
        <v>2370</v>
      </c>
      <c r="E1225" s="5">
        <f>IF('зведена (БАЛАНС) (2)'!E1225&gt;'зведена (БАЛАНС) (2)'!F1225,'зведена (БАЛАНС) (2)'!E1225-'зведена (БАЛАНС) (2)'!F1225,0)</f>
        <v>0</v>
      </c>
      <c r="F1225" s="5">
        <f>IF('зведена (БАЛАНС) (2)'!F1225&gt;'зведена (БАЛАНС) (2)'!E1225,'зведена (БАЛАНС) (2)'!F1225-'зведена (БАЛАНС) (2)'!E1225,0)</f>
        <v>30062.799999999999</v>
      </c>
    </row>
    <row r="1226" spans="1:6" s="28" customFormat="1" x14ac:dyDescent="0.25">
      <c r="A1226" s="38">
        <v>19</v>
      </c>
      <c r="B1226" s="34" t="s">
        <v>985</v>
      </c>
      <c r="C1226" s="18" t="s">
        <v>253</v>
      </c>
      <c r="D1226" s="32" t="s">
        <v>2371</v>
      </c>
      <c r="E1226" s="5">
        <f>IF('зведена (БАЛАНС) (2)'!E1226&gt;'зведена (БАЛАНС) (2)'!F1226,'зведена (БАЛАНС) (2)'!E1226-'зведена (БАЛАНС) (2)'!F1226,0)</f>
        <v>0</v>
      </c>
      <c r="F1226" s="5">
        <f>IF('зведена (БАЛАНС) (2)'!F1226&gt;'зведена (БАЛАНС) (2)'!E1226,'зведена (БАЛАНС) (2)'!F1226-'зведена (БАЛАНС) (2)'!E1226,0)</f>
        <v>23534.9</v>
      </c>
    </row>
    <row r="1227" spans="1:6" s="28" customFormat="1" x14ac:dyDescent="0.25">
      <c r="A1227" s="38">
        <v>19</v>
      </c>
      <c r="B1227" s="34" t="s">
        <v>984</v>
      </c>
      <c r="C1227" s="18" t="s">
        <v>254</v>
      </c>
      <c r="D1227" s="32" t="s">
        <v>2372</v>
      </c>
      <c r="E1227" s="5">
        <f>IF('зведена (БАЛАНС) (2)'!E1227&gt;'зведена (БАЛАНС) (2)'!F1227,'зведена (БАЛАНС) (2)'!E1227-'зведена (БАЛАНС) (2)'!F1227,0)</f>
        <v>0</v>
      </c>
      <c r="F1227" s="5">
        <f>IF('зведена (БАЛАНС) (2)'!F1227&gt;'зведена (БАЛАНС) (2)'!E1227,'зведена (БАЛАНС) (2)'!F1227-'зведена (БАЛАНС) (2)'!E1227,0)</f>
        <v>11331.3</v>
      </c>
    </row>
    <row r="1228" spans="1:6" s="28" customFormat="1" x14ac:dyDescent="0.25">
      <c r="A1228" s="38">
        <v>19</v>
      </c>
      <c r="B1228" s="34" t="s">
        <v>985</v>
      </c>
      <c r="C1228" s="18" t="s">
        <v>255</v>
      </c>
      <c r="D1228" s="32" t="s">
        <v>2373</v>
      </c>
      <c r="E1228" s="5">
        <f>IF('зведена (БАЛАНС) (2)'!E1228&gt;'зведена (БАЛАНС) (2)'!F1228,'зведена (БАЛАНС) (2)'!E1228-'зведена (БАЛАНС) (2)'!F1228,0)</f>
        <v>0</v>
      </c>
      <c r="F1228" s="5">
        <f>IF('зведена (БАЛАНС) (2)'!F1228&gt;'зведена (БАЛАНС) (2)'!E1228,'зведена (БАЛАНС) (2)'!F1228-'зведена (БАЛАНС) (2)'!E1228,0)</f>
        <v>10531.3</v>
      </c>
    </row>
    <row r="1229" spans="1:6" s="28" customFormat="1" x14ac:dyDescent="0.25">
      <c r="A1229" s="38">
        <v>19</v>
      </c>
      <c r="B1229" s="34" t="s">
        <v>983</v>
      </c>
      <c r="C1229" s="18" t="s">
        <v>256</v>
      </c>
      <c r="D1229" s="32" t="s">
        <v>2374</v>
      </c>
      <c r="E1229" s="5">
        <f>IF('зведена (БАЛАНС) (2)'!E1229&gt;'зведена (БАЛАНС) (2)'!F1229,'зведена (БАЛАНС) (2)'!E1229-'зведена (БАЛАНС) (2)'!F1229,0)</f>
        <v>0</v>
      </c>
      <c r="F1229" s="5">
        <f>IF('зведена (БАЛАНС) (2)'!F1229&gt;'зведена (БАЛАНС) (2)'!E1229,'зведена (БАЛАНС) (2)'!F1229-'зведена (БАЛАНС) (2)'!E1229,0)</f>
        <v>26577.599999999999</v>
      </c>
    </row>
    <row r="1230" spans="1:6" s="28" customFormat="1" x14ac:dyDescent="0.25">
      <c r="A1230" s="38">
        <v>19</v>
      </c>
      <c r="B1230" s="34" t="s">
        <v>985</v>
      </c>
      <c r="C1230" s="18" t="s">
        <v>257</v>
      </c>
      <c r="D1230" s="32" t="s">
        <v>2375</v>
      </c>
      <c r="E1230" s="5">
        <f>IF('зведена (БАЛАНС) (2)'!E1230&gt;'зведена (БАЛАНС) (2)'!F1230,'зведена (БАЛАНС) (2)'!E1230-'зведена (БАЛАНС) (2)'!F1230,0)</f>
        <v>0</v>
      </c>
      <c r="F1230" s="5">
        <f>IF('зведена (БАЛАНС) (2)'!F1230&gt;'зведена (БАЛАНС) (2)'!E1230,'зведена (БАЛАНС) (2)'!F1230-'зведена (БАЛАНС) (2)'!E1230,0)</f>
        <v>10901.6</v>
      </c>
    </row>
    <row r="1231" spans="1:6" s="28" customFormat="1" x14ac:dyDescent="0.25">
      <c r="A1231" s="38">
        <v>19</v>
      </c>
      <c r="B1231" s="34" t="s">
        <v>983</v>
      </c>
      <c r="C1231" s="18" t="s">
        <v>258</v>
      </c>
      <c r="D1231" s="32" t="s">
        <v>2376</v>
      </c>
      <c r="E1231" s="5">
        <f>IF('зведена (БАЛАНС) (2)'!E1231&gt;'зведена (БАЛАНС) (2)'!F1231,'зведена (БАЛАНС) (2)'!E1231-'зведена (БАЛАНС) (2)'!F1231,0)</f>
        <v>0</v>
      </c>
      <c r="F1231" s="5">
        <f>IF('зведена (БАЛАНС) (2)'!F1231&gt;'зведена (БАЛАНС) (2)'!E1231,'зведена (БАЛАНС) (2)'!F1231-'зведена (БАЛАНС) (2)'!E1231,0)</f>
        <v>11253.1</v>
      </c>
    </row>
    <row r="1232" spans="1:6" s="28" customFormat="1" x14ac:dyDescent="0.25">
      <c r="A1232" s="38">
        <v>19</v>
      </c>
      <c r="B1232" s="34" t="s">
        <v>984</v>
      </c>
      <c r="C1232" s="18" t="s">
        <v>259</v>
      </c>
      <c r="D1232" s="32" t="s">
        <v>2377</v>
      </c>
      <c r="E1232" s="5">
        <f>IF('зведена (БАЛАНС) (2)'!E1232&gt;'зведена (БАЛАНС) (2)'!F1232,'зведена (БАЛАНС) (2)'!E1232-'зведена (БАЛАНС) (2)'!F1232,0)</f>
        <v>0</v>
      </c>
      <c r="F1232" s="5">
        <f>IF('зведена (БАЛАНС) (2)'!F1232&gt;'зведена (БАЛАНС) (2)'!E1232,'зведена (БАЛАНС) (2)'!F1232-'зведена (БАЛАНС) (2)'!E1232,0)</f>
        <v>0</v>
      </c>
    </row>
    <row r="1233" spans="1:7" x14ac:dyDescent="0.25">
      <c r="A1233" s="38">
        <v>19</v>
      </c>
      <c r="B1233" s="34" t="s">
        <v>983</v>
      </c>
      <c r="C1233" s="18" t="s">
        <v>260</v>
      </c>
      <c r="D1233" s="32" t="s">
        <v>2378</v>
      </c>
      <c r="E1233" s="5">
        <f>IF('зведена (БАЛАНС) (2)'!E1233&gt;'зведена (БАЛАНС) (2)'!F1233,'зведена (БАЛАНС) (2)'!E1233-'зведена (БАЛАНС) (2)'!F1233,0)</f>
        <v>0</v>
      </c>
      <c r="F1233" s="5">
        <f>IF('зведена (БАЛАНС) (2)'!F1233&gt;'зведена (БАЛАНС) (2)'!E1233,'зведена (БАЛАНС) (2)'!F1233-'зведена (БАЛАНС) (2)'!E1233,0)</f>
        <v>22286.5</v>
      </c>
      <c r="G1233" s="28"/>
    </row>
    <row r="1234" spans="1:7" x14ac:dyDescent="0.25">
      <c r="A1234" s="38">
        <v>19</v>
      </c>
      <c r="B1234" s="34" t="s">
        <v>983</v>
      </c>
      <c r="C1234" s="18" t="s">
        <v>261</v>
      </c>
      <c r="D1234" s="32" t="s">
        <v>2379</v>
      </c>
      <c r="E1234" s="5">
        <f>IF('зведена (БАЛАНС) (2)'!E1234&gt;'зведена (БАЛАНС) (2)'!F1234,'зведена (БАЛАНС) (2)'!E1234-'зведена (БАЛАНС) (2)'!F1234,0)</f>
        <v>0</v>
      </c>
      <c r="F1234" s="5">
        <f>IF('зведена (БАЛАНС) (2)'!F1234&gt;'зведена (БАЛАНС) (2)'!E1234,'зведена (БАЛАНС) (2)'!F1234-'зведена (БАЛАНС) (2)'!E1234,0)</f>
        <v>26350.9</v>
      </c>
      <c r="G1234" s="28"/>
    </row>
    <row r="1235" spans="1:7" x14ac:dyDescent="0.25">
      <c r="A1235" s="38">
        <v>19</v>
      </c>
      <c r="B1235" s="34" t="s">
        <v>983</v>
      </c>
      <c r="C1235" s="18" t="s">
        <v>424</v>
      </c>
      <c r="D1235" s="32" t="s">
        <v>2380</v>
      </c>
      <c r="E1235" s="5">
        <f>IF('зведена (БАЛАНС) (2)'!E1235&gt;'зведена (БАЛАНС) (2)'!F1235,'зведена (БАЛАНС) (2)'!E1235-'зведена (БАЛАНС) (2)'!F1235,0)</f>
        <v>0</v>
      </c>
      <c r="F1235" s="5">
        <f>IF('зведена (БАЛАНС) (2)'!F1235&gt;'зведена (БАЛАНС) (2)'!E1235,'зведена (БАЛАНС) (2)'!F1235-'зведена (БАЛАНС) (2)'!E1235,0)</f>
        <v>33492.800000000003</v>
      </c>
      <c r="G1235" s="28"/>
    </row>
    <row r="1236" spans="1:7" x14ac:dyDescent="0.25">
      <c r="A1236" s="38">
        <v>19</v>
      </c>
      <c r="B1236" s="34" t="s">
        <v>985</v>
      </c>
      <c r="C1236" s="18" t="s">
        <v>425</v>
      </c>
      <c r="D1236" s="32" t="s">
        <v>3102</v>
      </c>
      <c r="E1236" s="5">
        <f>IF('зведена (БАЛАНС) (2)'!E1236&gt;'зведена (БАЛАНС) (2)'!F1236,'зведена (БАЛАНС) (2)'!E1236-'зведена (БАЛАНС) (2)'!F1236,0)</f>
        <v>0</v>
      </c>
      <c r="F1236" s="5">
        <f>IF('зведена (БАЛАНС) (2)'!F1236&gt;'зведена (БАЛАНС) (2)'!E1236,'зведена (БАЛАНС) (2)'!F1236-'зведена (БАЛАНС) (2)'!E1236,0)</f>
        <v>28243.3</v>
      </c>
      <c r="G1236" s="28"/>
    </row>
    <row r="1237" spans="1:7" s="28" customFormat="1" ht="21" customHeight="1" x14ac:dyDescent="0.25">
      <c r="A1237" s="38">
        <v>19</v>
      </c>
      <c r="B1237" s="34" t="s">
        <v>985</v>
      </c>
      <c r="C1237" s="18" t="s">
        <v>426</v>
      </c>
      <c r="D1237" s="32" t="s">
        <v>2382</v>
      </c>
      <c r="E1237" s="5">
        <f>IF('зведена (БАЛАНС) (2)'!E1237&gt;'зведена (БАЛАНС) (2)'!F1237,'зведена (БАЛАНС) (2)'!E1237-'зведена (БАЛАНС) (2)'!F1237,0)</f>
        <v>0</v>
      </c>
      <c r="F1237" s="5">
        <f>IF('зведена (БАЛАНС) (2)'!F1237&gt;'зведена (БАЛАНС) (2)'!E1237,'зведена (БАЛАНС) (2)'!F1237-'зведена (БАЛАНС) (2)'!E1237,0)</f>
        <v>10500.8</v>
      </c>
    </row>
    <row r="1238" spans="1:7" s="28" customFormat="1" ht="21" customHeight="1" x14ac:dyDescent="0.25">
      <c r="A1238" s="38">
        <v>19</v>
      </c>
      <c r="B1238" s="34" t="s">
        <v>985</v>
      </c>
      <c r="C1238" s="18" t="s">
        <v>427</v>
      </c>
      <c r="D1238" s="32" t="s">
        <v>2383</v>
      </c>
      <c r="E1238" s="5">
        <f>IF('зведена (БАЛАНС) (2)'!E1238&gt;'зведена (БАЛАНС) (2)'!F1238,'зведена (БАЛАНС) (2)'!E1238-'зведена (БАЛАНС) (2)'!F1238,0)</f>
        <v>0</v>
      </c>
      <c r="F1238" s="5">
        <f>IF('зведена (БАЛАНС) (2)'!F1238&gt;'зведена (БАЛАНС) (2)'!E1238,'зведена (БАЛАНС) (2)'!F1238-'зведена (БАЛАНС) (2)'!E1238,0)</f>
        <v>15396.3</v>
      </c>
    </row>
    <row r="1239" spans="1:7" s="29" customFormat="1" ht="21" customHeight="1" x14ac:dyDescent="0.25">
      <c r="A1239" s="38">
        <v>19</v>
      </c>
      <c r="B1239" s="34" t="s">
        <v>984</v>
      </c>
      <c r="C1239" s="18" t="s">
        <v>428</v>
      </c>
      <c r="D1239" s="32" t="s">
        <v>2384</v>
      </c>
      <c r="E1239" s="5">
        <f>IF('зведена (БАЛАНС) (2)'!E1239&gt;'зведена (БАЛАНС) (2)'!F1239,'зведена (БАЛАНС) (2)'!E1239-'зведена (БАЛАНС) (2)'!F1239,0)</f>
        <v>0</v>
      </c>
      <c r="F1239" s="5">
        <f>IF('зведена (БАЛАНС) (2)'!F1239&gt;'зведена (БАЛАНС) (2)'!E1239,'зведена (БАЛАНС) (2)'!F1239-'зведена (БАЛАНС) (2)'!E1239,0)</f>
        <v>4783.8</v>
      </c>
      <c r="G1239" s="28"/>
    </row>
    <row r="1240" spans="1:7" s="29" customFormat="1" ht="21" customHeight="1" x14ac:dyDescent="0.25">
      <c r="A1240" s="38">
        <v>19</v>
      </c>
      <c r="B1240" s="34" t="s">
        <v>984</v>
      </c>
      <c r="C1240" s="18" t="s">
        <v>429</v>
      </c>
      <c r="D1240" s="32" t="s">
        <v>2385</v>
      </c>
      <c r="E1240" s="5">
        <f>IF('зведена (БАЛАНС) (2)'!E1240&gt;'зведена (БАЛАНС) (2)'!F1240,'зведена (БАЛАНС) (2)'!E1240-'зведена (БАЛАНС) (2)'!F1240,0)</f>
        <v>0</v>
      </c>
      <c r="F1240" s="5">
        <f>IF('зведена (БАЛАНС) (2)'!F1240&gt;'зведена (БАЛАНС) (2)'!E1240,'зведена (БАЛАНС) (2)'!F1240-'зведена (БАЛАНС) (2)'!E1240,0)</f>
        <v>6931.3</v>
      </c>
      <c r="G1240" s="28"/>
    </row>
    <row r="1241" spans="1:7" s="29" customFormat="1" ht="21" customHeight="1" x14ac:dyDescent="0.25">
      <c r="A1241" s="38">
        <v>19</v>
      </c>
      <c r="B1241" s="34" t="s">
        <v>984</v>
      </c>
      <c r="C1241" s="18" t="s">
        <v>430</v>
      </c>
      <c r="D1241" s="32" t="s">
        <v>2386</v>
      </c>
      <c r="E1241" s="5">
        <f>IF('зведена (БАЛАНС) (2)'!E1241&gt;'зведена (БАЛАНС) (2)'!F1241,'зведена (БАЛАНС) (2)'!E1241-'зведена (БАЛАНС) (2)'!F1241,0)</f>
        <v>0</v>
      </c>
      <c r="F1241" s="5">
        <f>IF('зведена (БАЛАНС) (2)'!F1241&gt;'зведена (БАЛАНС) (2)'!E1241,'зведена (БАЛАНС) (2)'!F1241-'зведена (БАЛАНС) (2)'!E1241,0)</f>
        <v>7825</v>
      </c>
      <c r="G1241" s="28"/>
    </row>
    <row r="1242" spans="1:7" s="29" customFormat="1" ht="21" customHeight="1" x14ac:dyDescent="0.25">
      <c r="A1242" s="38">
        <v>19</v>
      </c>
      <c r="B1242" s="34" t="s">
        <v>984</v>
      </c>
      <c r="C1242" s="18" t="s">
        <v>431</v>
      </c>
      <c r="D1242" s="32" t="s">
        <v>3103</v>
      </c>
      <c r="E1242" s="5">
        <f>IF('зведена (БАЛАНС) (2)'!E1242&gt;'зведена (БАЛАНС) (2)'!F1242,'зведена (БАЛАНС) (2)'!E1242-'зведена (БАЛАНС) (2)'!F1242,0)</f>
        <v>0</v>
      </c>
      <c r="F1242" s="5">
        <f>IF('зведена (БАЛАНС) (2)'!F1242&gt;'зведена (БАЛАНС) (2)'!E1242,'зведена (БАЛАНС) (2)'!F1242-'зведена (БАЛАНС) (2)'!E1242,0)</f>
        <v>919.3</v>
      </c>
      <c r="G1242" s="28"/>
    </row>
    <row r="1243" spans="1:7" s="29" customFormat="1" ht="21" customHeight="1" x14ac:dyDescent="0.25">
      <c r="A1243" s="38">
        <v>19</v>
      </c>
      <c r="B1243" s="34" t="s">
        <v>984</v>
      </c>
      <c r="C1243" s="18" t="s">
        <v>621</v>
      </c>
      <c r="D1243" s="32" t="s">
        <v>3104</v>
      </c>
      <c r="E1243" s="5">
        <f>IF('зведена (БАЛАНС) (2)'!E1243&gt;'зведена (БАЛАНС) (2)'!F1243,'зведена (БАЛАНС) (2)'!E1243-'зведена (БАЛАНС) (2)'!F1243,0)</f>
        <v>0</v>
      </c>
      <c r="F1243" s="5">
        <f>IF('зведена (БАЛАНС) (2)'!F1243&gt;'зведена (БАЛАНС) (2)'!E1243,'зведена (БАЛАНС) (2)'!F1243-'зведена (БАЛАНС) (2)'!E1243,0)</f>
        <v>9899.7999999999993</v>
      </c>
      <c r="G1243" s="28"/>
    </row>
    <row r="1244" spans="1:7" s="29" customFormat="1" ht="21" customHeight="1" x14ac:dyDescent="0.25">
      <c r="A1244" s="38">
        <v>19</v>
      </c>
      <c r="B1244" s="34" t="s">
        <v>983</v>
      </c>
      <c r="C1244" s="18" t="s">
        <v>622</v>
      </c>
      <c r="D1244" s="32" t="s">
        <v>2389</v>
      </c>
      <c r="E1244" s="5">
        <f>IF('зведена (БАЛАНС) (2)'!E1244&gt;'зведена (БАЛАНС) (2)'!F1244,'зведена (БАЛАНС) (2)'!E1244-'зведена (БАЛАНС) (2)'!F1244,0)</f>
        <v>0</v>
      </c>
      <c r="F1244" s="5">
        <f>IF('зведена (БАЛАНС) (2)'!F1244&gt;'зведена (БАЛАНС) (2)'!E1244,'зведена (БАЛАНС) (2)'!F1244-'зведена (БАЛАНС) (2)'!E1244,0)</f>
        <v>18686.099999999999</v>
      </c>
      <c r="G1244" s="28"/>
    </row>
    <row r="1245" spans="1:7" s="29" customFormat="1" ht="21" customHeight="1" x14ac:dyDescent="0.25">
      <c r="A1245" s="38">
        <v>19</v>
      </c>
      <c r="B1245" s="34" t="s">
        <v>983</v>
      </c>
      <c r="C1245" s="18" t="s">
        <v>623</v>
      </c>
      <c r="D1245" s="32" t="s">
        <v>2390</v>
      </c>
      <c r="E1245" s="5">
        <f>IF('зведена (БАЛАНС) (2)'!E1245&gt;'зведена (БАЛАНС) (2)'!F1245,'зведена (БАЛАНС) (2)'!E1245-'зведена (БАЛАНС) (2)'!F1245,0)</f>
        <v>0</v>
      </c>
      <c r="F1245" s="5">
        <f>IF('зведена (БАЛАНС) (2)'!F1245&gt;'зведена (БАЛАНС) (2)'!E1245,'зведена (БАЛАНС) (2)'!F1245-'зведена (БАЛАНС) (2)'!E1245,0)</f>
        <v>10405.9</v>
      </c>
      <c r="G1245" s="28"/>
    </row>
    <row r="1246" spans="1:7" s="29" customFormat="1" ht="21" customHeight="1" x14ac:dyDescent="0.25">
      <c r="A1246" s="38">
        <v>19</v>
      </c>
      <c r="B1246" s="34" t="s">
        <v>983</v>
      </c>
      <c r="C1246" s="18" t="s">
        <v>624</v>
      </c>
      <c r="D1246" s="32" t="s">
        <v>2391</v>
      </c>
      <c r="E1246" s="5">
        <f>IF('зведена (БАЛАНС) (2)'!E1246&gt;'зведена (БАЛАНС) (2)'!F1246,'зведена (БАЛАНС) (2)'!E1246-'зведена (БАЛАНС) (2)'!F1246,0)</f>
        <v>0</v>
      </c>
      <c r="F1246" s="5">
        <f>IF('зведена (БАЛАНС) (2)'!F1246&gt;'зведена (БАЛАНС) (2)'!E1246,'зведена (БАЛАНС) (2)'!F1246-'зведена (БАЛАНС) (2)'!E1246,0)</f>
        <v>13877.4</v>
      </c>
      <c r="G1246" s="28"/>
    </row>
    <row r="1247" spans="1:7" s="29" customFormat="1" ht="21" customHeight="1" x14ac:dyDescent="0.25">
      <c r="A1247" s="38">
        <v>19</v>
      </c>
      <c r="B1247" s="34" t="s">
        <v>985</v>
      </c>
      <c r="C1247" s="18">
        <v>19542000000</v>
      </c>
      <c r="D1247" s="32" t="s">
        <v>3105</v>
      </c>
      <c r="E1247" s="5">
        <f>IF('зведена (БАЛАНС) (2)'!E1247&gt;'зведена (БАЛАНС) (2)'!F1247,'зведена (БАЛАНС) (2)'!E1247-'зведена (БАЛАНС) (2)'!F1247,0)</f>
        <v>0</v>
      </c>
      <c r="F1247" s="5">
        <f>IF('зведена (БАЛАНС) (2)'!F1247&gt;'зведена (БАЛАНС) (2)'!E1247,'зведена (БАЛАНС) (2)'!F1247-'зведена (БАЛАНС) (2)'!E1247,0)</f>
        <v>28922.9</v>
      </c>
      <c r="G1247" s="28"/>
    </row>
    <row r="1248" spans="1:7" s="29" customFormat="1" ht="21" customHeight="1" x14ac:dyDescent="0.25">
      <c r="A1248" s="38">
        <v>19</v>
      </c>
      <c r="B1248" s="34" t="s">
        <v>984</v>
      </c>
      <c r="C1248" s="18">
        <v>19543000000</v>
      </c>
      <c r="D1248" s="32" t="s">
        <v>2393</v>
      </c>
      <c r="E1248" s="5">
        <f>IF('зведена (БАЛАНС) (2)'!E1248&gt;'зведена (БАЛАНС) (2)'!F1248,'зведена (БАЛАНС) (2)'!E1248-'зведена (БАЛАНС) (2)'!F1248,0)</f>
        <v>0</v>
      </c>
      <c r="F1248" s="5">
        <f>IF('зведена (БАЛАНС) (2)'!F1248&gt;'зведена (БАЛАНС) (2)'!E1248,'зведена (БАЛАНС) (2)'!F1248-'зведена (БАЛАНС) (2)'!E1248,0)</f>
        <v>5853.6</v>
      </c>
      <c r="G1248" s="27"/>
    </row>
    <row r="1249" spans="1:7" s="29" customFormat="1" ht="21" customHeight="1" x14ac:dyDescent="0.25">
      <c r="A1249" s="38">
        <v>19</v>
      </c>
      <c r="B1249" s="34" t="s">
        <v>983</v>
      </c>
      <c r="C1249" s="18">
        <v>19544000000</v>
      </c>
      <c r="D1249" s="32" t="s">
        <v>2394</v>
      </c>
      <c r="E1249" s="5">
        <f>IF('зведена (БАЛАНС) (2)'!E1249&gt;'зведена (БАЛАНС) (2)'!F1249,'зведена (БАЛАНС) (2)'!E1249-'зведена (БАЛАНС) (2)'!F1249,0)</f>
        <v>0</v>
      </c>
      <c r="F1249" s="5">
        <f>IF('зведена (БАЛАНС) (2)'!F1249&gt;'зведена (БАЛАНС) (2)'!E1249,'зведена (БАЛАНС) (2)'!F1249-'зведена (БАЛАНС) (2)'!E1249,0)</f>
        <v>19031.599999999999</v>
      </c>
      <c r="G1249" s="26"/>
    </row>
    <row r="1250" spans="1:7" s="29" customFormat="1" ht="21" customHeight="1" x14ac:dyDescent="0.25">
      <c r="A1250" s="38">
        <v>19</v>
      </c>
      <c r="B1250" s="34" t="s">
        <v>984</v>
      </c>
      <c r="C1250" s="18">
        <v>19545000000</v>
      </c>
      <c r="D1250" s="32" t="s">
        <v>2395</v>
      </c>
      <c r="E1250" s="5">
        <f>IF('зведена (БАЛАНС) (2)'!E1250&gt;'зведена (БАЛАНС) (2)'!F1250,'зведена (БАЛАНС) (2)'!E1250-'зведена (БАЛАНС) (2)'!F1250,0)</f>
        <v>0</v>
      </c>
      <c r="F1250" s="5">
        <f>IF('зведена (БАЛАНС) (2)'!F1250&gt;'зведена (БАЛАНС) (2)'!E1250,'зведена (БАЛАНС) (2)'!F1250-'зведена (БАЛАНС) (2)'!E1250,0)</f>
        <v>4773.2</v>
      </c>
      <c r="G1250" s="26"/>
    </row>
    <row r="1251" spans="1:7" s="29" customFormat="1" ht="21" customHeight="1" x14ac:dyDescent="0.25">
      <c r="A1251" s="38">
        <v>19</v>
      </c>
      <c r="B1251" s="34" t="s">
        <v>983</v>
      </c>
      <c r="C1251" s="18">
        <v>19546000000</v>
      </c>
      <c r="D1251" s="32" t="s">
        <v>2396</v>
      </c>
      <c r="E1251" s="5">
        <f>IF('зведена (БАЛАНС) (2)'!E1251&gt;'зведена (БАЛАНС) (2)'!F1251,'зведена (БАЛАНС) (2)'!E1251-'зведена (БАЛАНС) (2)'!F1251,0)</f>
        <v>0</v>
      </c>
      <c r="F1251" s="5">
        <f>IF('зведена (БАЛАНС) (2)'!F1251&gt;'зведена (БАЛАНС) (2)'!E1251,'зведена (БАЛАНС) (2)'!F1251-'зведена (БАЛАНС) (2)'!E1251,0)</f>
        <v>24304.6</v>
      </c>
      <c r="G1251" s="26"/>
    </row>
    <row r="1252" spans="1:7" s="29" customFormat="1" ht="21" customHeight="1" x14ac:dyDescent="0.25">
      <c r="A1252" s="38">
        <v>19</v>
      </c>
      <c r="B1252" s="34" t="s">
        <v>986</v>
      </c>
      <c r="C1252" s="18">
        <v>19548000000</v>
      </c>
      <c r="D1252" s="32" t="s">
        <v>3106</v>
      </c>
      <c r="E1252" s="5">
        <f>IF('зведена (БАЛАНС) (2)'!E1252&gt;'зведена (БАЛАНС) (2)'!F1252,'зведена (БАЛАНС) (2)'!E1252-'зведена (БАЛАНС) (2)'!F1252,0)</f>
        <v>0</v>
      </c>
      <c r="F1252" s="5">
        <f>IF('зведена (БАЛАНС) (2)'!F1252&gt;'зведена (БАЛАНС) (2)'!E1252,'зведена (БАЛАНС) (2)'!F1252-'зведена (БАЛАНС) (2)'!E1252,0)</f>
        <v>25204.400000000001</v>
      </c>
      <c r="G1252" s="26"/>
    </row>
    <row r="1253" spans="1:7" s="29" customFormat="1" ht="21" customHeight="1" x14ac:dyDescent="0.25">
      <c r="A1253" s="38">
        <v>19</v>
      </c>
      <c r="B1253" s="34" t="s">
        <v>986</v>
      </c>
      <c r="C1253" s="18">
        <v>19549000000</v>
      </c>
      <c r="D1253" s="32" t="s">
        <v>3107</v>
      </c>
      <c r="E1253" s="5">
        <f>IF('зведена (БАЛАНС) (2)'!E1253&gt;'зведена (БАЛАНС) (2)'!F1253,'зведена (БАЛАНС) (2)'!E1253-'зведена (БАЛАНС) (2)'!F1253,0)</f>
        <v>95086.9</v>
      </c>
      <c r="F1253" s="5">
        <f>IF('зведена (БАЛАНС) (2)'!F1253&gt;'зведена (БАЛАНС) (2)'!E1253,'зведена (БАЛАНС) (2)'!F1253-'зведена (БАЛАНС) (2)'!E1253,0)</f>
        <v>0</v>
      </c>
      <c r="G1253" s="26"/>
    </row>
    <row r="1254" spans="1:7" s="28" customFormat="1" ht="21" customHeight="1" x14ac:dyDescent="0.25">
      <c r="A1254" s="38">
        <v>19</v>
      </c>
      <c r="B1254" s="34" t="s">
        <v>985</v>
      </c>
      <c r="C1254" s="18">
        <v>19550000000</v>
      </c>
      <c r="D1254" s="67" t="s">
        <v>3108</v>
      </c>
      <c r="E1254" s="5">
        <f>IF('зведена (БАЛАНС) (2)'!E1254&gt;'зведена (БАЛАНС) (2)'!F1254,'зведена (БАЛАНС) (2)'!E1254-'зведена (БАЛАНС) (2)'!F1254,0)</f>
        <v>0</v>
      </c>
      <c r="F1254" s="5">
        <f>IF('зведена (БАЛАНС) (2)'!F1254&gt;'зведена (БАЛАНС) (2)'!E1254,'зведена (БАЛАНС) (2)'!F1254-'зведена (БАЛАНС) (2)'!E1254,0)</f>
        <v>0</v>
      </c>
      <c r="G1254" s="26"/>
    </row>
    <row r="1255" spans="1:7" s="28" customFormat="1" ht="21" customHeight="1" x14ac:dyDescent="0.25">
      <c r="A1255" s="38">
        <v>19</v>
      </c>
      <c r="B1255" s="34" t="s">
        <v>984</v>
      </c>
      <c r="C1255" s="18">
        <v>19553000000</v>
      </c>
      <c r="D1255" s="32" t="s">
        <v>3109</v>
      </c>
      <c r="E1255" s="5">
        <f>IF('зведена (БАЛАНС) (2)'!E1255&gt;'зведена (БАЛАНС) (2)'!F1255,'зведена (БАЛАНС) (2)'!E1255-'зведена (БАЛАНС) (2)'!F1255,0)</f>
        <v>0</v>
      </c>
      <c r="F1255" s="5">
        <f>IF('зведена (БАЛАНС) (2)'!F1255&gt;'зведена (БАЛАНС) (2)'!E1255,'зведена (БАЛАНС) (2)'!F1255-'зведена (БАЛАНС) (2)'!E1255,0)</f>
        <v>10111.299999999999</v>
      </c>
      <c r="G1255" s="26"/>
    </row>
    <row r="1256" spans="1:7" s="28" customFormat="1" ht="34.5" customHeight="1" x14ac:dyDescent="0.25">
      <c r="A1256" s="38">
        <v>19</v>
      </c>
      <c r="B1256" s="34" t="s">
        <v>986</v>
      </c>
      <c r="C1256" s="18">
        <v>19554000000</v>
      </c>
      <c r="D1256" s="32" t="s">
        <v>3110</v>
      </c>
      <c r="E1256" s="5">
        <f>IF('зведена (БАЛАНС) (2)'!E1256&gt;'зведена (БАЛАНС) (2)'!F1256,'зведена (БАЛАНС) (2)'!E1256-'зведена (БАЛАНС) (2)'!F1256,0)</f>
        <v>0</v>
      </c>
      <c r="F1256" s="5">
        <f>IF('зведена (БАЛАНС) (2)'!F1256&gt;'зведена (БАЛАНС) (2)'!E1256,'зведена (БАЛАНС) (2)'!F1256-'зведена (БАЛАНС) (2)'!E1256,0)</f>
        <v>2721.1</v>
      </c>
      <c r="G1256" s="26"/>
    </row>
    <row r="1257" spans="1:7" s="28" customFormat="1" ht="21" customHeight="1" x14ac:dyDescent="0.25">
      <c r="A1257" s="38">
        <v>19</v>
      </c>
      <c r="B1257" s="34" t="s">
        <v>983</v>
      </c>
      <c r="C1257" s="18">
        <v>19555000000</v>
      </c>
      <c r="D1257" s="80" t="s">
        <v>2402</v>
      </c>
      <c r="E1257" s="5">
        <f>IF('зведена (БАЛАНС) (2)'!E1257&gt;'зведена (БАЛАНС) (2)'!F1257,'зведена (БАЛАНС) (2)'!E1257-'зведена (БАЛАНС) (2)'!F1257,0)</f>
        <v>0</v>
      </c>
      <c r="F1257" s="5">
        <f>IF('зведена (БАЛАНС) (2)'!F1257&gt;'зведена (БАЛАНС) (2)'!E1257,'зведена (БАЛАНС) (2)'!F1257-'зведена (БАЛАНС) (2)'!E1257,0)</f>
        <v>44852.1</v>
      </c>
      <c r="G1257" s="26"/>
    </row>
    <row r="1258" spans="1:7" s="28" customFormat="1" ht="25.5" customHeight="1" x14ac:dyDescent="0.25">
      <c r="A1258" s="38">
        <v>19</v>
      </c>
      <c r="B1258" s="34" t="s">
        <v>985</v>
      </c>
      <c r="C1258" s="18">
        <v>19556000000</v>
      </c>
      <c r="D1258" s="80" t="s">
        <v>2403</v>
      </c>
      <c r="E1258" s="5">
        <f>IF('зведена (БАЛАНС) (2)'!E1258&gt;'зведена (БАЛАНС) (2)'!F1258,'зведена (БАЛАНС) (2)'!E1258-'зведена (БАЛАНС) (2)'!F1258,0)</f>
        <v>0</v>
      </c>
      <c r="F1258" s="5">
        <f>IF('зведена (БАЛАНС) (2)'!F1258&gt;'зведена (БАЛАНС) (2)'!E1258,'зведена (БАЛАНС) (2)'!F1258-'зведена (БАЛАНС) (2)'!E1258,0)</f>
        <v>10767.6</v>
      </c>
      <c r="G1258" s="26"/>
    </row>
    <row r="1259" spans="1:7" ht="28.5" customHeight="1" x14ac:dyDescent="0.25">
      <c r="A1259" s="38">
        <v>19</v>
      </c>
      <c r="B1259" s="34" t="s">
        <v>983</v>
      </c>
      <c r="C1259" s="18">
        <v>19557000000</v>
      </c>
      <c r="D1259" s="80" t="s">
        <v>2404</v>
      </c>
      <c r="E1259" s="5">
        <f>IF('зведена (БАЛАНС) (2)'!E1259&gt;'зведена (БАЛАНС) (2)'!F1259,'зведена (БАЛАНС) (2)'!E1259-'зведена (БАЛАНС) (2)'!F1259,0)</f>
        <v>0</v>
      </c>
      <c r="F1259" s="5">
        <f>IF('зведена (БАЛАНС) (2)'!F1259&gt;'зведена (БАЛАНС) (2)'!E1259,'зведена (БАЛАНС) (2)'!F1259-'зведена (БАЛАНС) (2)'!E1259,0)</f>
        <v>28335.7</v>
      </c>
    </row>
    <row r="1260" spans="1:7" ht="31.5" customHeight="1" x14ac:dyDescent="0.25">
      <c r="A1260" s="38">
        <v>19</v>
      </c>
      <c r="B1260" s="34" t="s">
        <v>983</v>
      </c>
      <c r="C1260" s="18">
        <v>19558000000</v>
      </c>
      <c r="D1260" s="80" t="s">
        <v>2405</v>
      </c>
      <c r="E1260" s="5">
        <f>IF('зведена (БАЛАНС) (2)'!E1260&gt;'зведена (БАЛАНС) (2)'!F1260,'зведена (БАЛАНС) (2)'!E1260-'зведена (БАЛАНС) (2)'!F1260,0)</f>
        <v>0</v>
      </c>
      <c r="F1260" s="5">
        <f>IF('зведена (БАЛАНС) (2)'!F1260&gt;'зведена (БАЛАНС) (2)'!E1260,'зведена (БАЛАНС) (2)'!F1260-'зведена (БАЛАНС) (2)'!E1260,0)</f>
        <v>37483.300000000003</v>
      </c>
    </row>
    <row r="1261" spans="1:7" ht="21" customHeight="1" x14ac:dyDescent="0.25">
      <c r="A1261" s="38">
        <v>19</v>
      </c>
      <c r="B1261" s="34" t="s">
        <v>984</v>
      </c>
      <c r="C1261" s="18">
        <v>19559000000</v>
      </c>
      <c r="D1261" s="80" t="s">
        <v>2406</v>
      </c>
      <c r="E1261" s="5">
        <f>IF('зведена (БАЛАНС) (2)'!E1261&gt;'зведена (БАЛАНС) (2)'!F1261,'зведена (БАЛАНС) (2)'!E1261-'зведена (БАЛАНС) (2)'!F1261,0)</f>
        <v>0</v>
      </c>
      <c r="F1261" s="5">
        <f>IF('зведена (БАЛАНС) (2)'!F1261&gt;'зведена (БАЛАНС) (2)'!E1261,'зведена (БАЛАНС) (2)'!F1261-'зведена (БАЛАНС) (2)'!E1261,0)</f>
        <v>8898.9</v>
      </c>
    </row>
    <row r="1262" spans="1:7" ht="28.5" customHeight="1" x14ac:dyDescent="0.25">
      <c r="A1262" s="38">
        <v>19</v>
      </c>
      <c r="B1262" s="34" t="s">
        <v>985</v>
      </c>
      <c r="C1262" s="18">
        <v>19560000000</v>
      </c>
      <c r="D1262" s="80" t="s">
        <v>2407</v>
      </c>
      <c r="E1262" s="5">
        <f>IF('зведена (БАЛАНС) (2)'!E1262&gt;'зведена (БАЛАНС) (2)'!F1262,'зведена (БАЛАНС) (2)'!E1262-'зведена (БАЛАНС) (2)'!F1262,0)</f>
        <v>0</v>
      </c>
      <c r="F1262" s="5">
        <f>IF('зведена (БАЛАНС) (2)'!F1262&gt;'зведена (БАЛАНС) (2)'!E1262,'зведена (БАЛАНС) (2)'!F1262-'зведена (БАЛАНС) (2)'!E1262,0)</f>
        <v>11994.7</v>
      </c>
    </row>
    <row r="1263" spans="1:7" ht="21" customHeight="1" x14ac:dyDescent="0.25">
      <c r="A1263" s="38">
        <v>19</v>
      </c>
      <c r="B1263" s="34" t="s">
        <v>986</v>
      </c>
      <c r="C1263" s="18">
        <v>19561000000</v>
      </c>
      <c r="D1263" s="80" t="s">
        <v>2408</v>
      </c>
      <c r="E1263" s="5">
        <f>IF('зведена (БАЛАНС) (2)'!E1263&gt;'зведена (БАЛАНС) (2)'!F1263,'зведена (БАЛАНС) (2)'!E1263-'зведена (БАЛАНС) (2)'!F1263,0)</f>
        <v>0</v>
      </c>
      <c r="F1263" s="5">
        <f>IF('зведена (БАЛАНС) (2)'!F1263&gt;'зведена (БАЛАНС) (2)'!E1263,'зведена (БАЛАНС) (2)'!F1263-'зведена (БАЛАНС) (2)'!E1263,0)</f>
        <v>39021.4</v>
      </c>
    </row>
    <row r="1264" spans="1:7" ht="21" customHeight="1" x14ac:dyDescent="0.25">
      <c r="A1264" s="38">
        <v>19</v>
      </c>
      <c r="B1264" s="34" t="s">
        <v>984</v>
      </c>
      <c r="C1264" s="18">
        <v>19562000000</v>
      </c>
      <c r="D1264" s="80" t="s">
        <v>2409</v>
      </c>
      <c r="E1264" s="5">
        <f>IF('зведена (БАЛАНС) (2)'!E1264&gt;'зведена (БАЛАНС) (2)'!F1264,'зведена (БАЛАНС) (2)'!E1264-'зведена (БАЛАНС) (2)'!F1264,0)</f>
        <v>0</v>
      </c>
      <c r="F1264" s="5">
        <f>IF('зведена (БАЛАНС) (2)'!F1264&gt;'зведена (БАЛАНС) (2)'!E1264,'зведена (БАЛАНС) (2)'!F1264-'зведена (БАЛАНС) (2)'!E1264,0)</f>
        <v>11178.4</v>
      </c>
    </row>
    <row r="1265" spans="1:7" ht="30.75" customHeight="1" x14ac:dyDescent="0.25">
      <c r="A1265" s="38">
        <v>19</v>
      </c>
      <c r="B1265" s="34" t="s">
        <v>983</v>
      </c>
      <c r="C1265" s="18">
        <v>19563000000</v>
      </c>
      <c r="D1265" s="80" t="s">
        <v>2410</v>
      </c>
      <c r="E1265" s="5">
        <f>IF('зведена (БАЛАНС) (2)'!E1265&gt;'зведена (БАЛАНС) (2)'!F1265,'зведена (БАЛАНС) (2)'!E1265-'зведена (БАЛАНС) (2)'!F1265,0)</f>
        <v>0</v>
      </c>
      <c r="F1265" s="5">
        <f>IF('зведена (БАЛАНС) (2)'!F1265&gt;'зведена (БАЛАНС) (2)'!E1265,'зведена (БАЛАНС) (2)'!F1265-'зведена (БАЛАНС) (2)'!E1265,0)</f>
        <v>2606.9</v>
      </c>
    </row>
    <row r="1266" spans="1:7" ht="21" customHeight="1" x14ac:dyDescent="0.25">
      <c r="A1266" s="38">
        <v>19</v>
      </c>
      <c r="B1266" s="34" t="s">
        <v>984</v>
      </c>
      <c r="C1266" s="18">
        <v>19564000000</v>
      </c>
      <c r="D1266" s="80" t="s">
        <v>2411</v>
      </c>
      <c r="E1266" s="5">
        <f>IF('зведена (БАЛАНС) (2)'!E1266&gt;'зведена (БАЛАНС) (2)'!F1266,'зведена (БАЛАНС) (2)'!E1266-'зведена (БАЛАНС) (2)'!F1266,0)</f>
        <v>0</v>
      </c>
      <c r="F1266" s="5">
        <f>IF('зведена (БАЛАНС) (2)'!F1266&gt;'зведена (БАЛАНС) (2)'!E1266,'зведена (БАЛАНС) (2)'!F1266-'зведена (БАЛАНС) (2)'!E1266,0)</f>
        <v>8695.6</v>
      </c>
      <c r="G1266" s="28"/>
    </row>
    <row r="1267" spans="1:7" ht="31.5" customHeight="1" x14ac:dyDescent="0.25">
      <c r="A1267" s="36">
        <v>20</v>
      </c>
      <c r="B1267" s="17" t="s">
        <v>7</v>
      </c>
      <c r="C1267" s="17" t="s">
        <v>811</v>
      </c>
      <c r="D1267" s="11" t="s">
        <v>22</v>
      </c>
      <c r="E1267" s="11">
        <f>E1268+E1269+E1277</f>
        <v>450496.10000000003</v>
      </c>
      <c r="F1267" s="11">
        <f>F1268+F1269+F1277</f>
        <v>526353.5</v>
      </c>
      <c r="G1267" s="28"/>
    </row>
    <row r="1268" spans="1:7" ht="21" customHeight="1" x14ac:dyDescent="0.25">
      <c r="A1268" s="38">
        <v>20</v>
      </c>
      <c r="B1268" s="34" t="s">
        <v>6</v>
      </c>
      <c r="C1268" s="18" t="s">
        <v>177</v>
      </c>
      <c r="D1268" s="32" t="s">
        <v>858</v>
      </c>
      <c r="E1268" s="5">
        <f>IF('зведена (БАЛАНС) (2)'!E1268&gt;'зведена (БАЛАНС) (2)'!F1268,'зведена (БАЛАНС) (2)'!E1268-'зведена (БАЛАНС) (2)'!F1268,0)</f>
        <v>0</v>
      </c>
      <c r="F1268" s="5">
        <f>IF('зведена (БАЛАНС) (2)'!F1268&gt;'зведена (БАЛАНС) (2)'!E1268,'зведена (БАЛАНС) (2)'!F1268-'зведена (БАЛАНС) (2)'!E1268,0)</f>
        <v>15843.7</v>
      </c>
      <c r="G1268" s="28"/>
    </row>
    <row r="1269" spans="1:7" s="28" customFormat="1" ht="21" customHeight="1" x14ac:dyDescent="0.25">
      <c r="A1269" s="37">
        <v>20</v>
      </c>
      <c r="B1269" s="19" t="s">
        <v>5</v>
      </c>
      <c r="C1269" s="19" t="s">
        <v>812</v>
      </c>
      <c r="D1269" s="7" t="s">
        <v>2813</v>
      </c>
      <c r="E1269" s="7">
        <f>SUM(E1270:E1276)</f>
        <v>0</v>
      </c>
      <c r="F1269" s="7">
        <f>SUM(F1270:F1276)</f>
        <v>0</v>
      </c>
    </row>
    <row r="1270" spans="1:7" s="28" customFormat="1" ht="21" customHeight="1" x14ac:dyDescent="0.25">
      <c r="A1270" s="38">
        <v>20</v>
      </c>
      <c r="B1270" s="34" t="s">
        <v>4</v>
      </c>
      <c r="C1270" s="18" t="s">
        <v>2756</v>
      </c>
      <c r="D1270" s="32" t="s">
        <v>2757</v>
      </c>
      <c r="E1270" s="5">
        <f>IF('зведена (БАЛАНС) (2)'!E1270&gt;'зведена (БАЛАНС) (2)'!F1270,'зведена (БАЛАНС) (2)'!E1270-'зведена (БАЛАНС) (2)'!F1270,0)</f>
        <v>0</v>
      </c>
      <c r="F1270" s="5">
        <f>IF('зведена (БАЛАНС) (2)'!F1270&gt;'зведена (БАЛАНС) (2)'!E1270,'зведена (БАЛАНС) (2)'!F1270-'зведена (БАЛАНС) (2)'!E1270,0)</f>
        <v>0</v>
      </c>
    </row>
    <row r="1271" spans="1:7" s="28" customFormat="1" ht="21" customHeight="1" x14ac:dyDescent="0.25">
      <c r="A1271" s="38">
        <v>20</v>
      </c>
      <c r="B1271" s="34" t="s">
        <v>4</v>
      </c>
      <c r="C1271" s="18" t="s">
        <v>178</v>
      </c>
      <c r="D1271" s="32" t="s">
        <v>952</v>
      </c>
      <c r="E1271" s="5">
        <f>IF('зведена (БАЛАНС) (2)'!E1271&gt;'зведена (БАЛАНС) (2)'!F1271,'зведена (БАЛАНС) (2)'!E1271-'зведена (БАЛАНС) (2)'!F1271,0)</f>
        <v>0</v>
      </c>
      <c r="F1271" s="5">
        <f>IF('зведена (БАЛАНС) (2)'!F1271&gt;'зведена (БАЛАНС) (2)'!E1271,'зведена (БАЛАНС) (2)'!F1271-'зведена (БАЛАНС) (2)'!E1271,0)</f>
        <v>0</v>
      </c>
    </row>
    <row r="1272" spans="1:7" s="28" customFormat="1" x14ac:dyDescent="0.25">
      <c r="A1272" s="38">
        <v>20</v>
      </c>
      <c r="B1272" s="34" t="s">
        <v>4</v>
      </c>
      <c r="C1272" s="18" t="s">
        <v>179</v>
      </c>
      <c r="D1272" s="32" t="s">
        <v>953</v>
      </c>
      <c r="E1272" s="5">
        <f>IF('зведена (БАЛАНС) (2)'!E1272&gt;'зведена (БАЛАНС) (2)'!F1272,'зведена (БАЛАНС) (2)'!E1272-'зведена (БАЛАНС) (2)'!F1272,0)</f>
        <v>0</v>
      </c>
      <c r="F1272" s="5">
        <f>IF('зведена (БАЛАНС) (2)'!F1272&gt;'зведена (БАЛАНС) (2)'!E1272,'зведена (БАЛАНС) (2)'!F1272-'зведена (БАЛАНС) (2)'!E1272,0)</f>
        <v>0</v>
      </c>
    </row>
    <row r="1273" spans="1:7" s="28" customFormat="1" x14ac:dyDescent="0.25">
      <c r="A1273" s="38">
        <v>20</v>
      </c>
      <c r="B1273" s="34" t="s">
        <v>4</v>
      </c>
      <c r="C1273" s="18" t="s">
        <v>180</v>
      </c>
      <c r="D1273" s="32" t="s">
        <v>954</v>
      </c>
      <c r="E1273" s="5">
        <f>IF('зведена (БАЛАНС) (2)'!E1273&gt;'зведена (БАЛАНС) (2)'!F1273,'зведена (БАЛАНС) (2)'!E1273-'зведена (БАЛАНС) (2)'!F1273,0)</f>
        <v>0</v>
      </c>
      <c r="F1273" s="5">
        <f>IF('зведена (БАЛАНС) (2)'!F1273&gt;'зведена (БАЛАНС) (2)'!E1273,'зведена (БАЛАНС) (2)'!F1273-'зведена (БАЛАНС) (2)'!E1273,0)</f>
        <v>0</v>
      </c>
    </row>
    <row r="1274" spans="1:7" s="28" customFormat="1" x14ac:dyDescent="0.25">
      <c r="A1274" s="38">
        <v>20</v>
      </c>
      <c r="B1274" s="34" t="s">
        <v>4</v>
      </c>
      <c r="C1274" s="18" t="s">
        <v>181</v>
      </c>
      <c r="D1274" s="32" t="s">
        <v>955</v>
      </c>
      <c r="E1274" s="5">
        <f>IF('зведена (БАЛАНС) (2)'!E1274&gt;'зведена (БАЛАНС) (2)'!F1274,'зведена (БАЛАНС) (2)'!E1274-'зведена (БАЛАНС) (2)'!F1274,0)</f>
        <v>0</v>
      </c>
      <c r="F1274" s="5">
        <f>IF('зведена (БАЛАНС) (2)'!F1274&gt;'зведена (БАЛАНС) (2)'!E1274,'зведена (БАЛАНС) (2)'!F1274-'зведена (БАЛАНС) (2)'!E1274,0)</f>
        <v>0</v>
      </c>
    </row>
    <row r="1275" spans="1:7" s="28" customFormat="1" x14ac:dyDescent="0.25">
      <c r="A1275" s="38">
        <v>20</v>
      </c>
      <c r="B1275" s="34" t="s">
        <v>4</v>
      </c>
      <c r="C1275" s="18" t="s">
        <v>182</v>
      </c>
      <c r="D1275" s="32" t="s">
        <v>956</v>
      </c>
      <c r="E1275" s="5">
        <f>IF('зведена (БАЛАНС) (2)'!E1275&gt;'зведена (БАЛАНС) (2)'!F1275,'зведена (БАЛАНС) (2)'!E1275-'зведена (БАЛАНС) (2)'!F1275,0)</f>
        <v>0</v>
      </c>
      <c r="F1275" s="5">
        <f>IF('зведена (БАЛАНС) (2)'!F1275&gt;'зведена (БАЛАНС) (2)'!E1275,'зведена (БАЛАНС) (2)'!F1275-'зведена (БАЛАНС) (2)'!E1275,0)</f>
        <v>0</v>
      </c>
    </row>
    <row r="1276" spans="1:7" s="29" customFormat="1" x14ac:dyDescent="0.25">
      <c r="A1276" s="38">
        <v>20</v>
      </c>
      <c r="B1276" s="34" t="s">
        <v>4</v>
      </c>
      <c r="C1276" s="18" t="s">
        <v>183</v>
      </c>
      <c r="D1276" s="32" t="s">
        <v>957</v>
      </c>
      <c r="E1276" s="5">
        <f>IF('зведена (БАЛАНС) (2)'!E1276&gt;'зведена (БАЛАНС) (2)'!F1276,'зведена (БАЛАНС) (2)'!E1276-'зведена (БАЛАНС) (2)'!F1276,0)</f>
        <v>0</v>
      </c>
      <c r="F1276" s="5">
        <f>IF('зведена (БАЛАНС) (2)'!F1276&gt;'зведена (БАЛАНС) (2)'!E1276,'зведена (БАЛАНС) (2)'!F1276-'зведена (БАЛАНС) (2)'!E1276,0)</f>
        <v>0</v>
      </c>
      <c r="G1276" s="28"/>
    </row>
    <row r="1277" spans="1:7" s="29" customFormat="1" x14ac:dyDescent="0.25">
      <c r="A1277" s="37">
        <v>20</v>
      </c>
      <c r="B1277" s="19" t="s">
        <v>28</v>
      </c>
      <c r="C1277" s="19" t="s">
        <v>813</v>
      </c>
      <c r="D1277" s="20" t="s">
        <v>2786</v>
      </c>
      <c r="E1277" s="7">
        <f>SUM(E1278:E1333)</f>
        <v>450496.10000000003</v>
      </c>
      <c r="F1277" s="7">
        <f>SUM(F1278:F1333)</f>
        <v>510509.8</v>
      </c>
      <c r="G1277" s="28"/>
    </row>
    <row r="1278" spans="1:7" s="29" customFormat="1" x14ac:dyDescent="0.25">
      <c r="A1278" s="38">
        <v>20</v>
      </c>
      <c r="B1278" s="34" t="s">
        <v>985</v>
      </c>
      <c r="C1278" s="18" t="s">
        <v>291</v>
      </c>
      <c r="D1278" s="32" t="s">
        <v>2412</v>
      </c>
      <c r="E1278" s="5">
        <f>IF('зведена (БАЛАНС) (2)'!E1278&gt;'зведена (БАЛАНС) (2)'!F1278,'зведена (БАЛАНС) (2)'!E1278-'зведена (БАЛАНС) (2)'!F1278,0)</f>
        <v>0</v>
      </c>
      <c r="F1278" s="5">
        <f>IF('зведена (БАЛАНС) (2)'!F1278&gt;'зведена (БАЛАНС) (2)'!E1278,'зведена (БАЛАНС) (2)'!F1278-'зведена (БАЛАНС) (2)'!E1278,0)</f>
        <v>2656.9</v>
      </c>
      <c r="G1278" s="28"/>
    </row>
    <row r="1279" spans="1:7" s="29" customFormat="1" x14ac:dyDescent="0.25">
      <c r="A1279" s="38">
        <v>20</v>
      </c>
      <c r="B1279" s="34" t="s">
        <v>983</v>
      </c>
      <c r="C1279" s="18" t="s">
        <v>303</v>
      </c>
      <c r="D1279" s="32" t="s">
        <v>2413</v>
      </c>
      <c r="E1279" s="5">
        <f>IF('зведена (БАЛАНС) (2)'!E1279&gt;'зведена (БАЛАНС) (2)'!F1279,'зведена (БАЛАНС) (2)'!E1279-'зведена (БАЛАНС) (2)'!F1279,0)</f>
        <v>0</v>
      </c>
      <c r="F1279" s="5">
        <f>IF('зведена (БАЛАНС) (2)'!F1279&gt;'зведена (БАЛАНС) (2)'!E1279,'зведена (БАЛАНС) (2)'!F1279-'зведена (БАЛАНС) (2)'!E1279,0)</f>
        <v>20834.400000000001</v>
      </c>
      <c r="G1279" s="28"/>
    </row>
    <row r="1280" spans="1:7" s="28" customFormat="1" x14ac:dyDescent="0.25">
      <c r="A1280" s="38">
        <v>20</v>
      </c>
      <c r="B1280" s="34" t="s">
        <v>985</v>
      </c>
      <c r="C1280" s="18" t="s">
        <v>304</v>
      </c>
      <c r="D1280" s="32" t="s">
        <v>2414</v>
      </c>
      <c r="E1280" s="5">
        <f>IF('зведена (БАЛАНС) (2)'!E1280&gt;'зведена (БАЛАНС) (2)'!F1280,'зведена (БАЛАНС) (2)'!E1280-'зведена (БАЛАНС) (2)'!F1280,0)</f>
        <v>0</v>
      </c>
      <c r="F1280" s="5">
        <f>IF('зведена (БАЛАНС) (2)'!F1280&gt;'зведена (БАЛАНС) (2)'!E1280,'зведена (БАЛАНС) (2)'!F1280-'зведена (БАЛАНС) (2)'!E1280,0)</f>
        <v>10604.5</v>
      </c>
    </row>
    <row r="1281" spans="1:7" s="28" customFormat="1" x14ac:dyDescent="0.25">
      <c r="A1281" s="38">
        <v>20</v>
      </c>
      <c r="B1281" s="34" t="s">
        <v>985</v>
      </c>
      <c r="C1281" s="18" t="s">
        <v>432</v>
      </c>
      <c r="D1281" s="32" t="s">
        <v>2415</v>
      </c>
      <c r="E1281" s="5">
        <f>IF('зведена (БАЛАНС) (2)'!E1281&gt;'зведена (БАЛАНС) (2)'!F1281,'зведена (БАЛАНС) (2)'!E1281-'зведена (БАЛАНС) (2)'!F1281,0)</f>
        <v>6507.9</v>
      </c>
      <c r="F1281" s="5">
        <f>IF('зведена (БАЛАНС) (2)'!F1281&gt;'зведена (БАЛАНС) (2)'!E1281,'зведена (БАЛАНС) (2)'!F1281-'зведена (БАЛАНС) (2)'!E1281,0)</f>
        <v>0</v>
      </c>
    </row>
    <row r="1282" spans="1:7" s="28" customFormat="1" x14ac:dyDescent="0.25">
      <c r="A1282" s="38">
        <v>20</v>
      </c>
      <c r="B1282" s="34" t="s">
        <v>985</v>
      </c>
      <c r="C1282" s="18" t="s">
        <v>498</v>
      </c>
      <c r="D1282" s="32" t="s">
        <v>2416</v>
      </c>
      <c r="E1282" s="5">
        <f>IF('зведена (БАЛАНС) (2)'!E1282&gt;'зведена (БАЛАНС) (2)'!F1282,'зведена (БАЛАНС) (2)'!E1282-'зведена (БАЛАНС) (2)'!F1282,0)</f>
        <v>0</v>
      </c>
      <c r="F1282" s="5">
        <f>IF('зведена (БАЛАНС) (2)'!F1282&gt;'зведена (БАЛАНС) (2)'!E1282,'зведена (БАЛАНС) (2)'!F1282-'зведена (БАЛАНС) (2)'!E1282,0)</f>
        <v>0</v>
      </c>
    </row>
    <row r="1283" spans="1:7" s="28" customFormat="1" x14ac:dyDescent="0.25">
      <c r="A1283" s="38">
        <v>20</v>
      </c>
      <c r="B1283" s="34" t="s">
        <v>985</v>
      </c>
      <c r="C1283" s="18" t="s">
        <v>625</v>
      </c>
      <c r="D1283" s="32" t="s">
        <v>2417</v>
      </c>
      <c r="E1283" s="5">
        <f>IF('зведена (БАЛАНС) (2)'!E1283&gt;'зведена (БАЛАНС) (2)'!F1283,'зведена (БАЛАНС) (2)'!E1283-'зведена (БАЛАНС) (2)'!F1283,0)</f>
        <v>0</v>
      </c>
      <c r="F1283" s="5">
        <f>IF('зведена (БАЛАНС) (2)'!F1283&gt;'зведена (БАЛАНС) (2)'!E1283,'зведена (БАЛАНС) (2)'!F1283-'зведена (БАЛАНС) (2)'!E1283,0)</f>
        <v>13542.9</v>
      </c>
    </row>
    <row r="1284" spans="1:7" s="28" customFormat="1" x14ac:dyDescent="0.25">
      <c r="A1284" s="38">
        <v>20</v>
      </c>
      <c r="B1284" s="34" t="s">
        <v>985</v>
      </c>
      <c r="C1284" s="18" t="s">
        <v>626</v>
      </c>
      <c r="D1284" s="32" t="s">
        <v>3111</v>
      </c>
      <c r="E1284" s="5">
        <f>IF('зведена (БАЛАНС) (2)'!E1284&gt;'зведена (БАЛАНС) (2)'!F1284,'зведена (БАЛАНС) (2)'!E1284-'зведена (БАЛАНС) (2)'!F1284,0)</f>
        <v>0</v>
      </c>
      <c r="F1284" s="5">
        <f>IF('зведена (БАЛАНС) (2)'!F1284&gt;'зведена (БАЛАНС) (2)'!E1284,'зведена (БАЛАНС) (2)'!F1284-'зведена (БАЛАНС) (2)'!E1284,0)</f>
        <v>6358.2</v>
      </c>
    </row>
    <row r="1285" spans="1:7" s="28" customFormat="1" x14ac:dyDescent="0.25">
      <c r="A1285" s="38">
        <v>20</v>
      </c>
      <c r="B1285" s="34" t="s">
        <v>985</v>
      </c>
      <c r="C1285" s="18" t="s">
        <v>627</v>
      </c>
      <c r="D1285" s="32" t="s">
        <v>2419</v>
      </c>
      <c r="E1285" s="5">
        <f>IF('зведена (БАЛАНС) (2)'!E1285&gt;'зведена (БАЛАНС) (2)'!F1285,'зведена (БАЛАНС) (2)'!E1285-'зведена (БАЛАНС) (2)'!F1285,0)</f>
        <v>0</v>
      </c>
      <c r="F1285" s="5">
        <f>IF('зведена (БАЛАНС) (2)'!F1285&gt;'зведена (БАЛАНС) (2)'!E1285,'зведена (БАЛАНС) (2)'!F1285-'зведена (БАЛАНС) (2)'!E1285,0)</f>
        <v>5547.1</v>
      </c>
    </row>
    <row r="1286" spans="1:7" s="28" customFormat="1" x14ac:dyDescent="0.25">
      <c r="A1286" s="38">
        <v>20</v>
      </c>
      <c r="B1286" s="34" t="s">
        <v>984</v>
      </c>
      <c r="C1286" s="18" t="s">
        <v>628</v>
      </c>
      <c r="D1286" s="32" t="s">
        <v>2420</v>
      </c>
      <c r="E1286" s="5">
        <f>IF('зведена (БАЛАНС) (2)'!E1286&gt;'зведена (БАЛАНС) (2)'!F1286,'зведена (БАЛАНС) (2)'!E1286-'зведена (БАЛАНС) (2)'!F1286,0)</f>
        <v>0</v>
      </c>
      <c r="F1286" s="5">
        <f>IF('зведена (БАЛАНС) (2)'!F1286&gt;'зведена (БАЛАНС) (2)'!E1286,'зведена (БАЛАНС) (2)'!F1286-'зведена (БАЛАНС) (2)'!E1286,0)</f>
        <v>10232.6</v>
      </c>
      <c r="G1286" s="29"/>
    </row>
    <row r="1287" spans="1:7" s="28" customFormat="1" x14ac:dyDescent="0.25">
      <c r="A1287" s="38">
        <v>20</v>
      </c>
      <c r="B1287" s="34" t="s">
        <v>985</v>
      </c>
      <c r="C1287" s="18" t="s">
        <v>629</v>
      </c>
      <c r="D1287" s="32" t="s">
        <v>2421</v>
      </c>
      <c r="E1287" s="5">
        <f>IF('зведена (БАЛАНС) (2)'!E1287&gt;'зведена (БАЛАНС) (2)'!F1287,'зведена (БАЛАНС) (2)'!E1287-'зведена (БАЛАНС) (2)'!F1287,0)</f>
        <v>0</v>
      </c>
      <c r="F1287" s="5">
        <f>IF('зведена (БАЛАНС) (2)'!F1287&gt;'зведена (БАЛАНС) (2)'!E1287,'зведена (БАЛАНС) (2)'!F1287-'зведена (БАЛАНС) (2)'!E1287,0)</f>
        <v>0</v>
      </c>
      <c r="G1287" s="29"/>
    </row>
    <row r="1288" spans="1:7" s="28" customFormat="1" x14ac:dyDescent="0.25">
      <c r="A1288" s="38">
        <v>20</v>
      </c>
      <c r="B1288" s="34" t="s">
        <v>984</v>
      </c>
      <c r="C1288" s="18" t="s">
        <v>630</v>
      </c>
      <c r="D1288" s="32" t="s">
        <v>2422</v>
      </c>
      <c r="E1288" s="5">
        <f>IF('зведена (БАЛАНС) (2)'!E1288&gt;'зведена (БАЛАНС) (2)'!F1288,'зведена (БАЛАНС) (2)'!E1288-'зведена (БАЛАНС) (2)'!F1288,0)</f>
        <v>32172.1</v>
      </c>
      <c r="F1288" s="5">
        <f>IF('зведена (БАЛАНС) (2)'!F1288&gt;'зведена (БАЛАНС) (2)'!E1288,'зведена (БАЛАНС) (2)'!F1288-'зведена (БАЛАНС) (2)'!E1288,0)</f>
        <v>0</v>
      </c>
      <c r="G1288" s="29"/>
    </row>
    <row r="1289" spans="1:7" s="28" customFormat="1" x14ac:dyDescent="0.25">
      <c r="A1289" s="38">
        <v>20</v>
      </c>
      <c r="B1289" s="34" t="s">
        <v>985</v>
      </c>
      <c r="C1289" s="18" t="s">
        <v>631</v>
      </c>
      <c r="D1289" s="32" t="s">
        <v>2423</v>
      </c>
      <c r="E1289" s="5">
        <f>IF('зведена (БАЛАНС) (2)'!E1289&gt;'зведена (БАЛАНС) (2)'!F1289,'зведена (БАЛАНС) (2)'!E1289-'зведена (БАЛАНС) (2)'!F1289,0)</f>
        <v>3751.6</v>
      </c>
      <c r="F1289" s="5">
        <f>IF('зведена (БАЛАНС) (2)'!F1289&gt;'зведена (БАЛАНС) (2)'!E1289,'зведена (БАЛАНС) (2)'!F1289-'зведена (БАЛАНС) (2)'!E1289,0)</f>
        <v>0</v>
      </c>
      <c r="G1289" s="29"/>
    </row>
    <row r="1290" spans="1:7" s="28" customFormat="1" x14ac:dyDescent="0.25">
      <c r="A1290" s="38">
        <v>20</v>
      </c>
      <c r="B1290" s="34" t="s">
        <v>985</v>
      </c>
      <c r="C1290" s="18">
        <v>20513000000</v>
      </c>
      <c r="D1290" s="32" t="s">
        <v>2424</v>
      </c>
      <c r="E1290" s="5">
        <f>IF('зведена (БАЛАНС) (2)'!E1290&gt;'зведена (БАЛАНС) (2)'!F1290,'зведена (БАЛАНС) (2)'!E1290-'зведена (БАЛАНС) (2)'!F1290,0)</f>
        <v>3106.7</v>
      </c>
      <c r="F1290" s="5">
        <f>IF('зведена (БАЛАНС) (2)'!F1290&gt;'зведена (БАЛАНС) (2)'!E1290,'зведена (БАЛАНС) (2)'!F1290-'зведена (БАЛАНС) (2)'!E1290,0)</f>
        <v>0</v>
      </c>
      <c r="G1290" s="29"/>
    </row>
    <row r="1291" spans="1:7" s="28" customFormat="1" x14ac:dyDescent="0.25">
      <c r="A1291" s="38">
        <v>20</v>
      </c>
      <c r="B1291" s="34" t="s">
        <v>985</v>
      </c>
      <c r="C1291" s="18">
        <v>20514000000</v>
      </c>
      <c r="D1291" s="32" t="s">
        <v>3112</v>
      </c>
      <c r="E1291" s="5">
        <f>IF('зведена (БАЛАНС) (2)'!E1291&gt;'зведена (БАЛАНС) (2)'!F1291,'зведена (БАЛАНС) (2)'!E1291-'зведена (БАЛАНС) (2)'!F1291,0)</f>
        <v>0</v>
      </c>
      <c r="F1291" s="5">
        <f>IF('зведена (БАЛАНС) (2)'!F1291&gt;'зведена (БАЛАНС) (2)'!E1291,'зведена (БАЛАНС) (2)'!F1291-'зведена (БАЛАНС) (2)'!E1291,0)</f>
        <v>36274.300000000003</v>
      </c>
      <c r="G1291" s="29"/>
    </row>
    <row r="1292" spans="1:7" s="28" customFormat="1" x14ac:dyDescent="0.25">
      <c r="A1292" s="38">
        <v>20</v>
      </c>
      <c r="B1292" s="34" t="s">
        <v>984</v>
      </c>
      <c r="C1292" s="18">
        <v>20515000000</v>
      </c>
      <c r="D1292" s="32" t="s">
        <v>2426</v>
      </c>
      <c r="E1292" s="5">
        <f>IF('зведена (БАЛАНС) (2)'!E1292&gt;'зведена (БАЛАНС) (2)'!F1292,'зведена (БАЛАНС) (2)'!E1292-'зведена (БАЛАНС) (2)'!F1292,0)</f>
        <v>0</v>
      </c>
      <c r="F1292" s="5">
        <f>IF('зведена (БАЛАНС) (2)'!F1292&gt;'зведена (БАЛАНС) (2)'!E1292,'зведена (БАЛАНС) (2)'!F1292-'зведена (БАЛАНС) (2)'!E1292,0)</f>
        <v>4676.5</v>
      </c>
      <c r="G1292" s="29"/>
    </row>
    <row r="1293" spans="1:7" s="28" customFormat="1" x14ac:dyDescent="0.25">
      <c r="A1293" s="38">
        <v>20</v>
      </c>
      <c r="B1293" s="34" t="s">
        <v>984</v>
      </c>
      <c r="C1293" s="18">
        <v>20516000000</v>
      </c>
      <c r="D1293" s="32" t="s">
        <v>2427</v>
      </c>
      <c r="E1293" s="5">
        <f>IF('зведена (БАЛАНС) (2)'!E1293&gt;'зведена (БАЛАНС) (2)'!F1293,'зведена (БАЛАНС) (2)'!E1293-'зведена (БАЛАНС) (2)'!F1293,0)</f>
        <v>0</v>
      </c>
      <c r="F1293" s="5">
        <f>IF('зведена (БАЛАНС) (2)'!F1293&gt;'зведена (БАЛАНС) (2)'!E1293,'зведена (БАЛАНС) (2)'!F1293-'зведена (БАЛАНС) (2)'!E1293,0)</f>
        <v>10835.8</v>
      </c>
      <c r="G1293" s="29"/>
    </row>
    <row r="1294" spans="1:7" s="28" customFormat="1" x14ac:dyDescent="0.25">
      <c r="A1294" s="38">
        <v>20</v>
      </c>
      <c r="B1294" s="34" t="s">
        <v>986</v>
      </c>
      <c r="C1294" s="18">
        <v>20517000000</v>
      </c>
      <c r="D1294" s="32" t="s">
        <v>3113</v>
      </c>
      <c r="E1294" s="5">
        <f>IF('зведена (БАЛАНС) (2)'!E1294&gt;'зведена (БАЛАНС) (2)'!F1294,'зведена (БАЛАНС) (2)'!E1294-'зведена (БАЛАНС) (2)'!F1294,0)</f>
        <v>0</v>
      </c>
      <c r="F1294" s="5">
        <f>IF('зведена (БАЛАНС) (2)'!F1294&gt;'зведена (БАЛАНС) (2)'!E1294,'зведена (БАЛАНС) (2)'!F1294-'зведена (БАЛАНС) (2)'!E1294,0)</f>
        <v>30517.5</v>
      </c>
      <c r="G1294" s="29"/>
    </row>
    <row r="1295" spans="1:7" s="28" customFormat="1" x14ac:dyDescent="0.25">
      <c r="A1295" s="38">
        <v>20</v>
      </c>
      <c r="B1295" s="34" t="s">
        <v>986</v>
      </c>
      <c r="C1295" s="18">
        <v>20518000000</v>
      </c>
      <c r="D1295" s="32" t="s">
        <v>3114</v>
      </c>
      <c r="E1295" s="5">
        <f>IF('зведена (БАЛАНС) (2)'!E1295&gt;'зведена (БАЛАНС) (2)'!F1295,'зведена (БАЛАНС) (2)'!E1295-'зведена (БАЛАНС) (2)'!F1295,0)</f>
        <v>0</v>
      </c>
      <c r="F1295" s="5">
        <f>IF('зведена (БАЛАНС) (2)'!F1295&gt;'зведена (БАЛАНС) (2)'!E1295,'зведена (БАЛАНС) (2)'!F1295-'зведена (БАЛАНС) (2)'!E1295,0)</f>
        <v>50828.1</v>
      </c>
      <c r="G1295" s="29"/>
    </row>
    <row r="1296" spans="1:7" s="28" customFormat="1" x14ac:dyDescent="0.25">
      <c r="A1296" s="38">
        <v>20</v>
      </c>
      <c r="B1296" s="34" t="s">
        <v>984</v>
      </c>
      <c r="C1296" s="18">
        <v>20519000000</v>
      </c>
      <c r="D1296" s="32" t="s">
        <v>3115</v>
      </c>
      <c r="E1296" s="5">
        <f>IF('зведена (БАЛАНС) (2)'!E1296&gt;'зведена (БАЛАНС) (2)'!F1296,'зведена (БАЛАНС) (2)'!E1296-'зведена (БАЛАНС) (2)'!F1296,0)</f>
        <v>0</v>
      </c>
      <c r="F1296" s="5">
        <f>IF('зведена (БАЛАНС) (2)'!F1296&gt;'зведена (БАЛАНС) (2)'!E1296,'зведена (БАЛАНС) (2)'!F1296-'зведена (БАЛАНС) (2)'!E1296,0)</f>
        <v>2563.1999999999998</v>
      </c>
      <c r="G1296" s="29"/>
    </row>
    <row r="1297" spans="1:7" s="28" customFormat="1" x14ac:dyDescent="0.25">
      <c r="A1297" s="38">
        <v>20</v>
      </c>
      <c r="B1297" s="34" t="s">
        <v>985</v>
      </c>
      <c r="C1297" s="18">
        <v>20520000000</v>
      </c>
      <c r="D1297" s="32" t="s">
        <v>3116</v>
      </c>
      <c r="E1297" s="5">
        <f>IF('зведена (БАЛАНС) (2)'!E1297&gt;'зведена (БАЛАНС) (2)'!F1297,'зведена (БАЛАНС) (2)'!E1297-'зведена (БАЛАНС) (2)'!F1297,0)</f>
        <v>36279.1</v>
      </c>
      <c r="F1297" s="5">
        <f>IF('зведена (БАЛАНС) (2)'!F1297&gt;'зведена (БАЛАНС) (2)'!E1297,'зведена (БАЛАНС) (2)'!F1297-'зведена (БАЛАНС) (2)'!E1297,0)</f>
        <v>0</v>
      </c>
      <c r="G1297" s="29"/>
    </row>
    <row r="1298" spans="1:7" s="28" customFormat="1" x14ac:dyDescent="0.25">
      <c r="A1298" s="38">
        <v>20</v>
      </c>
      <c r="B1298" s="34" t="s">
        <v>984</v>
      </c>
      <c r="C1298" s="18">
        <v>20521000000</v>
      </c>
      <c r="D1298" s="32" t="s">
        <v>3117</v>
      </c>
      <c r="E1298" s="5">
        <f>IF('зведена (БАЛАНС) (2)'!E1298&gt;'зведена (БАЛАНС) (2)'!F1298,'зведена (БАЛАНС) (2)'!E1298-'зведена (БАЛАНС) (2)'!F1298,0)</f>
        <v>0</v>
      </c>
      <c r="F1298" s="5">
        <f>IF('зведена (БАЛАНС) (2)'!F1298&gt;'зведена (БАЛАНС) (2)'!E1298,'зведена (БАЛАНС) (2)'!F1298-'зведена (БАЛАНС) (2)'!E1298,0)</f>
        <v>5005.8999999999996</v>
      </c>
      <c r="G1298" s="29"/>
    </row>
    <row r="1299" spans="1:7" s="28" customFormat="1" x14ac:dyDescent="0.25">
      <c r="A1299" s="38">
        <v>20</v>
      </c>
      <c r="B1299" s="34" t="s">
        <v>984</v>
      </c>
      <c r="C1299" s="18">
        <v>20522000000</v>
      </c>
      <c r="D1299" s="32" t="s">
        <v>3118</v>
      </c>
      <c r="E1299" s="5">
        <f>IF('зведена (БАЛАНС) (2)'!E1299&gt;'зведена (БАЛАНС) (2)'!F1299,'зведена (БАЛАНС) (2)'!E1299-'зведена (БАЛАНС) (2)'!F1299,0)</f>
        <v>0</v>
      </c>
      <c r="F1299" s="5">
        <f>IF('зведена (БАЛАНС) (2)'!F1299&gt;'зведена (БАЛАНС) (2)'!E1299,'зведена (БАЛАНС) (2)'!F1299-'зведена (БАЛАНС) (2)'!E1299,0)</f>
        <v>9522.2999999999993</v>
      </c>
      <c r="G1299" s="29"/>
    </row>
    <row r="1300" spans="1:7" s="28" customFormat="1" x14ac:dyDescent="0.25">
      <c r="A1300" s="38">
        <v>20</v>
      </c>
      <c r="B1300" s="34" t="s">
        <v>984</v>
      </c>
      <c r="C1300" s="18">
        <v>20523000000</v>
      </c>
      <c r="D1300" s="32" t="s">
        <v>2165</v>
      </c>
      <c r="E1300" s="5">
        <f>IF('зведена (БАЛАНС) (2)'!E1300&gt;'зведена (БАЛАНС) (2)'!F1300,'зведена (БАЛАНС) (2)'!E1300-'зведена (БАЛАНС) (2)'!F1300,0)</f>
        <v>0</v>
      </c>
      <c r="F1300" s="5">
        <f>IF('зведена (БАЛАНС) (2)'!F1300&gt;'зведена (БАЛАНС) (2)'!E1300,'зведена (БАЛАНС) (2)'!F1300-'зведена (БАЛАНС) (2)'!E1300,0)</f>
        <v>4814.2</v>
      </c>
      <c r="G1300" s="29"/>
    </row>
    <row r="1301" spans="1:7" s="28" customFormat="1" x14ac:dyDescent="0.25">
      <c r="A1301" s="38">
        <v>20</v>
      </c>
      <c r="B1301" s="34" t="s">
        <v>983</v>
      </c>
      <c r="C1301" s="18">
        <v>20524000000</v>
      </c>
      <c r="D1301" s="32" t="s">
        <v>2435</v>
      </c>
      <c r="E1301" s="5">
        <f>IF('зведена (БАЛАНС) (2)'!E1301&gt;'зведена (БАЛАНС) (2)'!F1301,'зведена (БАЛАНС) (2)'!E1301-'зведена (БАЛАНС) (2)'!F1301,0)</f>
        <v>0</v>
      </c>
      <c r="F1301" s="5">
        <f>IF('зведена (БАЛАНС) (2)'!F1301&gt;'зведена (БАЛАНС) (2)'!E1301,'зведена (БАЛАНС) (2)'!F1301-'зведена (БАЛАНС) (2)'!E1301,0)</f>
        <v>12816.9</v>
      </c>
      <c r="G1301" s="29"/>
    </row>
    <row r="1302" spans="1:7" s="28" customFormat="1" x14ac:dyDescent="0.25">
      <c r="A1302" s="38">
        <v>20</v>
      </c>
      <c r="B1302" s="34" t="s">
        <v>983</v>
      </c>
      <c r="C1302" s="18">
        <v>20525000000</v>
      </c>
      <c r="D1302" s="32" t="s">
        <v>2436</v>
      </c>
      <c r="E1302" s="5">
        <f>IF('зведена (БАЛАНС) (2)'!E1302&gt;'зведена (БАЛАНС) (2)'!F1302,'зведена (БАЛАНС) (2)'!E1302-'зведена (БАЛАНС) (2)'!F1302,0)</f>
        <v>0</v>
      </c>
      <c r="F1302" s="5">
        <f>IF('зведена (БАЛАНС) (2)'!F1302&gt;'зведена (БАЛАНС) (2)'!E1302,'зведена (БАЛАНС) (2)'!F1302-'зведена (БАЛАНС) (2)'!E1302,0)</f>
        <v>13618.7</v>
      </c>
      <c r="G1302" s="29"/>
    </row>
    <row r="1303" spans="1:7" s="28" customFormat="1" x14ac:dyDescent="0.25">
      <c r="A1303" s="38">
        <v>20</v>
      </c>
      <c r="B1303" s="34" t="s">
        <v>985</v>
      </c>
      <c r="C1303" s="18">
        <v>20526000000</v>
      </c>
      <c r="D1303" s="32" t="s">
        <v>2437</v>
      </c>
      <c r="E1303" s="5">
        <f>IF('зведена (БАЛАНС) (2)'!E1303&gt;'зведена (БАЛАНС) (2)'!F1303,'зведена (БАЛАНС) (2)'!E1303-'зведена (БАЛАНС) (2)'!F1303,0)</f>
        <v>0</v>
      </c>
      <c r="F1303" s="5">
        <f>IF('зведена (БАЛАНС) (2)'!F1303&gt;'зведена (БАЛАНС) (2)'!E1303,'зведена (БАЛАНС) (2)'!F1303-'зведена (БАЛАНС) (2)'!E1303,0)</f>
        <v>2930.7</v>
      </c>
      <c r="G1303" s="29"/>
    </row>
    <row r="1304" spans="1:7" s="28" customFormat="1" x14ac:dyDescent="0.25">
      <c r="A1304" s="38">
        <v>20</v>
      </c>
      <c r="B1304" s="34" t="s">
        <v>984</v>
      </c>
      <c r="C1304" s="18">
        <v>20527000000</v>
      </c>
      <c r="D1304" s="32" t="s">
        <v>2438</v>
      </c>
      <c r="E1304" s="5">
        <f>IF('зведена (БАЛАНС) (2)'!E1304&gt;'зведена (БАЛАНС) (2)'!F1304,'зведена (БАЛАНС) (2)'!E1304-'зведена (БАЛАНС) (2)'!F1304,0)</f>
        <v>0</v>
      </c>
      <c r="F1304" s="5">
        <f>IF('зведена (БАЛАНС) (2)'!F1304&gt;'зведена (БАЛАНС) (2)'!E1304,'зведена (БАЛАНС) (2)'!F1304-'зведена (БАЛАНС) (2)'!E1304,0)</f>
        <v>0</v>
      </c>
      <c r="G1304" s="29"/>
    </row>
    <row r="1305" spans="1:7" s="28" customFormat="1" x14ac:dyDescent="0.25">
      <c r="A1305" s="38">
        <v>20</v>
      </c>
      <c r="B1305" s="34" t="s">
        <v>985</v>
      </c>
      <c r="C1305" s="18">
        <v>20528000000</v>
      </c>
      <c r="D1305" s="32" t="s">
        <v>2439</v>
      </c>
      <c r="E1305" s="5">
        <f>IF('зведена (БАЛАНС) (2)'!E1305&gt;'зведена (БАЛАНС) (2)'!F1305,'зведена (БАЛАНС) (2)'!E1305-'зведена (БАЛАНС) (2)'!F1305,0)</f>
        <v>0</v>
      </c>
      <c r="F1305" s="5">
        <f>IF('зведена (БАЛАНС) (2)'!F1305&gt;'зведена (БАЛАНС) (2)'!E1305,'зведена (БАЛАНС) (2)'!F1305-'зведена (БАЛАНС) (2)'!E1305,0)</f>
        <v>7571.8</v>
      </c>
      <c r="G1305" s="29"/>
    </row>
    <row r="1306" spans="1:7" s="28" customFormat="1" x14ac:dyDescent="0.25">
      <c r="A1306" s="38">
        <v>20</v>
      </c>
      <c r="B1306" s="34" t="s">
        <v>983</v>
      </c>
      <c r="C1306" s="18">
        <v>20529000000</v>
      </c>
      <c r="D1306" s="32" t="s">
        <v>2440</v>
      </c>
      <c r="E1306" s="5">
        <f>IF('зведена (БАЛАНС) (2)'!E1306&gt;'зведена (БАЛАНС) (2)'!F1306,'зведена (БАЛАНС) (2)'!E1306-'зведена (БАЛАНС) (2)'!F1306,0)</f>
        <v>0</v>
      </c>
      <c r="F1306" s="5">
        <f>IF('зведена (БАЛАНС) (2)'!F1306&gt;'зведена (БАЛАНС) (2)'!E1306,'зведена (БАЛАНС) (2)'!F1306-'зведена (БАЛАНС) (2)'!E1306,0)</f>
        <v>0</v>
      </c>
      <c r="G1306" s="29"/>
    </row>
    <row r="1307" spans="1:7" s="28" customFormat="1" x14ac:dyDescent="0.25">
      <c r="A1307" s="38">
        <v>20</v>
      </c>
      <c r="B1307" s="34" t="s">
        <v>985</v>
      </c>
      <c r="C1307" s="18">
        <v>20530000000</v>
      </c>
      <c r="D1307" s="32" t="s">
        <v>2441</v>
      </c>
      <c r="E1307" s="5">
        <f>IF('зведена (БАЛАНС) (2)'!E1307&gt;'зведена (БАЛАНС) (2)'!F1307,'зведена (БАЛАНС) (2)'!E1307-'зведена (БАЛАНС) (2)'!F1307,0)</f>
        <v>0</v>
      </c>
      <c r="F1307" s="5">
        <f>IF('зведена (БАЛАНС) (2)'!F1307&gt;'зведена (БАЛАНС) (2)'!E1307,'зведена (БАЛАНС) (2)'!F1307-'зведена (БАЛАНС) (2)'!E1307,0)</f>
        <v>7272.1</v>
      </c>
      <c r="G1307" s="29"/>
    </row>
    <row r="1308" spans="1:7" s="27" customFormat="1" x14ac:dyDescent="0.25">
      <c r="A1308" s="38">
        <v>20</v>
      </c>
      <c r="B1308" s="34" t="s">
        <v>983</v>
      </c>
      <c r="C1308" s="18">
        <v>20531000000</v>
      </c>
      <c r="D1308" s="32" t="s">
        <v>2442</v>
      </c>
      <c r="E1308" s="5">
        <f>IF('зведена (БАЛАНС) (2)'!E1308&gt;'зведена (БАЛАНС) (2)'!F1308,'зведена (БАЛАНС) (2)'!E1308-'зведена (БАЛАНС) (2)'!F1308,0)</f>
        <v>0</v>
      </c>
      <c r="F1308" s="5">
        <f>IF('зведена (БАЛАНС) (2)'!F1308&gt;'зведена (БАЛАНС) (2)'!E1308,'зведена (БАЛАНС) (2)'!F1308-'зведена (БАЛАНС) (2)'!E1308,0)</f>
        <v>9586.2999999999993</v>
      </c>
      <c r="G1308" s="29"/>
    </row>
    <row r="1309" spans="1:7" x14ac:dyDescent="0.25">
      <c r="A1309" s="38">
        <v>20</v>
      </c>
      <c r="B1309" s="34" t="s">
        <v>985</v>
      </c>
      <c r="C1309" s="18">
        <v>20532000000</v>
      </c>
      <c r="D1309" s="32" t="s">
        <v>2443</v>
      </c>
      <c r="E1309" s="5">
        <f>IF('зведена (БАЛАНС) (2)'!E1309&gt;'зведена (БАЛАНС) (2)'!F1309,'зведена (БАЛАНС) (2)'!E1309-'зведена (БАЛАНС) (2)'!F1309,0)</f>
        <v>0</v>
      </c>
      <c r="F1309" s="5">
        <f>IF('зведена (БАЛАНС) (2)'!F1309&gt;'зведена (БАЛАНС) (2)'!E1309,'зведена (БАЛАНС) (2)'!F1309-'зведена (БАЛАНС) (2)'!E1309,0)</f>
        <v>28064.1</v>
      </c>
      <c r="G1309" s="28"/>
    </row>
    <row r="1310" spans="1:7" s="28" customFormat="1" x14ac:dyDescent="0.25">
      <c r="A1310" s="38">
        <v>20</v>
      </c>
      <c r="B1310" s="34" t="s">
        <v>984</v>
      </c>
      <c r="C1310" s="18">
        <v>20533000000</v>
      </c>
      <c r="D1310" s="32" t="s">
        <v>2444</v>
      </c>
      <c r="E1310" s="5">
        <f>IF('зведена (БАЛАНС) (2)'!E1310&gt;'зведена (БАЛАНС) (2)'!F1310,'зведена (БАЛАНС) (2)'!E1310-'зведена (БАЛАНС) (2)'!F1310,0)</f>
        <v>3103.8</v>
      </c>
      <c r="F1310" s="5">
        <f>IF('зведена (БАЛАНС) (2)'!F1310&gt;'зведена (БАЛАНС) (2)'!E1310,'зведена (БАЛАНС) (2)'!F1310-'зведена (БАЛАНС) (2)'!E1310,0)</f>
        <v>0</v>
      </c>
    </row>
    <row r="1311" spans="1:7" x14ac:dyDescent="0.25">
      <c r="A1311" s="38">
        <v>20</v>
      </c>
      <c r="B1311" s="34" t="s">
        <v>984</v>
      </c>
      <c r="C1311" s="18">
        <v>20534000000</v>
      </c>
      <c r="D1311" s="32" t="s">
        <v>2445</v>
      </c>
      <c r="E1311" s="5">
        <f>IF('зведена (БАЛАНС) (2)'!E1311&gt;'зведена (БАЛАНС) (2)'!F1311,'зведена (БАЛАНС) (2)'!E1311-'зведена (БАЛАНС) (2)'!F1311,0)</f>
        <v>0</v>
      </c>
      <c r="F1311" s="5">
        <f>IF('зведена (БАЛАНС) (2)'!F1311&gt;'зведена (БАЛАНС) (2)'!E1311,'зведена (БАЛАНС) (2)'!F1311-'зведена (БАЛАНС) (2)'!E1311,0)</f>
        <v>0</v>
      </c>
      <c r="G1311" s="28"/>
    </row>
    <row r="1312" spans="1:7" x14ac:dyDescent="0.25">
      <c r="A1312" s="38">
        <v>20</v>
      </c>
      <c r="B1312" s="34" t="s">
        <v>983</v>
      </c>
      <c r="C1312" s="18">
        <v>20535000000</v>
      </c>
      <c r="D1312" s="32" t="s">
        <v>2446</v>
      </c>
      <c r="E1312" s="5">
        <f>IF('зведена (БАЛАНС) (2)'!E1312&gt;'зведена (БАЛАНС) (2)'!F1312,'зведена (БАЛАНС) (2)'!E1312-'зведена (БАЛАНС) (2)'!F1312,0)</f>
        <v>0</v>
      </c>
      <c r="F1312" s="5">
        <f>IF('зведена (БАЛАНС) (2)'!F1312&gt;'зведена (БАЛАНС) (2)'!E1312,'зведена (БАЛАНС) (2)'!F1312-'зведена (БАЛАНС) (2)'!E1312,0)</f>
        <v>3077.9</v>
      </c>
      <c r="G1312" s="28"/>
    </row>
    <row r="1313" spans="1:7" x14ac:dyDescent="0.25">
      <c r="A1313" s="38">
        <v>20</v>
      </c>
      <c r="B1313" s="34" t="s">
        <v>985</v>
      </c>
      <c r="C1313" s="18">
        <v>20536000000</v>
      </c>
      <c r="D1313" s="32" t="s">
        <v>2447</v>
      </c>
      <c r="E1313" s="5">
        <f>IF('зведена (БАЛАНС) (2)'!E1313&gt;'зведена (БАЛАНС) (2)'!F1313,'зведена (БАЛАНС) (2)'!E1313-'зведена (БАЛАНС) (2)'!F1313,0)</f>
        <v>0</v>
      </c>
      <c r="F1313" s="5">
        <f>IF('зведена (БАЛАНС) (2)'!F1313&gt;'зведена (БАЛАНС) (2)'!E1313,'зведена (БАЛАНС) (2)'!F1313-'зведена (БАЛАНС) (2)'!E1313,0)</f>
        <v>0</v>
      </c>
      <c r="G1313" s="28"/>
    </row>
    <row r="1314" spans="1:7" x14ac:dyDescent="0.25">
      <c r="A1314" s="38">
        <v>20</v>
      </c>
      <c r="B1314" s="34" t="s">
        <v>983</v>
      </c>
      <c r="C1314" s="18">
        <v>20537000000</v>
      </c>
      <c r="D1314" s="32" t="s">
        <v>2448</v>
      </c>
      <c r="E1314" s="5">
        <f>IF('зведена (БАЛАНС) (2)'!E1314&gt;'зведена (БАЛАНС) (2)'!F1314,'зведена (БАЛАНС) (2)'!E1314-'зведена (БАЛАНС) (2)'!F1314,0)</f>
        <v>0</v>
      </c>
      <c r="F1314" s="5">
        <f>IF('зведена (БАЛАНС) (2)'!F1314&gt;'зведена (БАЛАНС) (2)'!E1314,'зведена (БАЛАНС) (2)'!F1314-'зведена (БАЛАНС) (2)'!E1314,0)</f>
        <v>0</v>
      </c>
    </row>
    <row r="1315" spans="1:7" x14ac:dyDescent="0.25">
      <c r="A1315" s="38">
        <v>20</v>
      </c>
      <c r="B1315" s="34" t="s">
        <v>983</v>
      </c>
      <c r="C1315" s="18">
        <v>20538000000</v>
      </c>
      <c r="D1315" s="32" t="s">
        <v>2449</v>
      </c>
      <c r="E1315" s="5">
        <f>IF('зведена (БАЛАНС) (2)'!E1315&gt;'зведена (БАЛАНС) (2)'!F1315,'зведена (БАЛАНС) (2)'!E1315-'зведена (БАЛАНС) (2)'!F1315,0)</f>
        <v>0</v>
      </c>
      <c r="F1315" s="5">
        <f>IF('зведена (БАЛАНС) (2)'!F1315&gt;'зведена (БАЛАНС) (2)'!E1315,'зведена (БАЛАНС) (2)'!F1315-'зведена (БАЛАНС) (2)'!E1315,0)</f>
        <v>37091.300000000003</v>
      </c>
    </row>
    <row r="1316" spans="1:7" x14ac:dyDescent="0.25">
      <c r="A1316" s="38">
        <v>20</v>
      </c>
      <c r="B1316" s="34" t="s">
        <v>985</v>
      </c>
      <c r="C1316" s="18">
        <v>20539000000</v>
      </c>
      <c r="D1316" s="32" t="s">
        <v>2450</v>
      </c>
      <c r="E1316" s="5">
        <f>IF('зведена (БАЛАНС) (2)'!E1316&gt;'зведена (БАЛАНС) (2)'!F1316,'зведена (БАЛАНС) (2)'!E1316-'зведена (БАЛАНС) (2)'!F1316,0)</f>
        <v>0</v>
      </c>
      <c r="F1316" s="5">
        <f>IF('зведена (БАЛАНС) (2)'!F1316&gt;'зведена (БАЛАНС) (2)'!E1316,'зведена (БАЛАНС) (2)'!F1316-'зведена (БАЛАНС) (2)'!E1316,0)</f>
        <v>5887.1</v>
      </c>
    </row>
    <row r="1317" spans="1:7" x14ac:dyDescent="0.25">
      <c r="A1317" s="38">
        <v>20</v>
      </c>
      <c r="B1317" s="34" t="s">
        <v>983</v>
      </c>
      <c r="C1317" s="18">
        <v>20540000000</v>
      </c>
      <c r="D1317" s="32" t="s">
        <v>2451</v>
      </c>
      <c r="E1317" s="5">
        <f>IF('зведена (БАЛАНС) (2)'!E1317&gt;'зведена (БАЛАНС) (2)'!F1317,'зведена (БАЛАНС) (2)'!E1317-'зведена (БАЛАНС) (2)'!F1317,0)</f>
        <v>0</v>
      </c>
      <c r="F1317" s="5">
        <f>IF('зведена (БАЛАНС) (2)'!F1317&gt;'зведена (БАЛАНС) (2)'!E1317,'зведена (БАЛАНС) (2)'!F1317-'зведена (БАЛАНС) (2)'!E1317,0)</f>
        <v>0</v>
      </c>
    </row>
    <row r="1318" spans="1:7" x14ac:dyDescent="0.25">
      <c r="A1318" s="38">
        <v>20</v>
      </c>
      <c r="B1318" s="34" t="s">
        <v>985</v>
      </c>
      <c r="C1318" s="18">
        <v>20541000000</v>
      </c>
      <c r="D1318" s="32" t="s">
        <v>2452</v>
      </c>
      <c r="E1318" s="5">
        <f>IF('зведена (БАЛАНС) (2)'!E1318&gt;'зведена (БАЛАНС) (2)'!F1318,'зведена (БАЛАНС) (2)'!E1318-'зведена (БАЛАНС) (2)'!F1318,0)</f>
        <v>0</v>
      </c>
      <c r="F1318" s="5">
        <f>IF('зведена (БАЛАНС) (2)'!F1318&gt;'зведена (БАЛАНС) (2)'!E1318,'зведена (БАЛАНС) (2)'!F1318-'зведена (БАЛАНС) (2)'!E1318,0)</f>
        <v>5092.5</v>
      </c>
    </row>
    <row r="1319" spans="1:7" x14ac:dyDescent="0.25">
      <c r="A1319" s="38">
        <v>20</v>
      </c>
      <c r="B1319" s="34" t="s">
        <v>984</v>
      </c>
      <c r="C1319" s="18">
        <v>20542000000</v>
      </c>
      <c r="D1319" s="32" t="s">
        <v>2453</v>
      </c>
      <c r="E1319" s="5">
        <f>IF('зведена (БАЛАНС) (2)'!E1319&gt;'зведена (БАЛАНС) (2)'!F1319,'зведена (БАЛАНС) (2)'!E1319-'зведена (БАЛАНС) (2)'!F1319,0)</f>
        <v>0</v>
      </c>
      <c r="F1319" s="5">
        <f>IF('зведена (БАЛАНС) (2)'!F1319&gt;'зведена (БАЛАНС) (2)'!E1319,'зведена (БАЛАНС) (2)'!F1319-'зведена (БАЛАНС) (2)'!E1319,0)</f>
        <v>348.6</v>
      </c>
    </row>
    <row r="1320" spans="1:7" x14ac:dyDescent="0.25">
      <c r="A1320" s="38">
        <v>20</v>
      </c>
      <c r="B1320" s="34" t="s">
        <v>986</v>
      </c>
      <c r="C1320" s="18">
        <v>20543000000</v>
      </c>
      <c r="D1320" s="32" t="s">
        <v>2454</v>
      </c>
      <c r="E1320" s="5">
        <f>IF('зведена (БАЛАНС) (2)'!E1320&gt;'зведена (БАЛАНС) (2)'!F1320,'зведена (БАЛАНС) (2)'!E1320-'зведена (БАЛАНС) (2)'!F1320,0)</f>
        <v>0</v>
      </c>
      <c r="F1320" s="5">
        <f>IF('зведена (БАЛАНС) (2)'!F1320&gt;'зведена (БАЛАНС) (2)'!E1320,'зведена (БАЛАНС) (2)'!F1320-'зведена (БАЛАНС) (2)'!E1320,0)</f>
        <v>0</v>
      </c>
    </row>
    <row r="1321" spans="1:7" x14ac:dyDescent="0.25">
      <c r="A1321" s="38">
        <v>20</v>
      </c>
      <c r="B1321" s="34" t="s">
        <v>984</v>
      </c>
      <c r="C1321" s="18">
        <v>20544000000</v>
      </c>
      <c r="D1321" s="32" t="s">
        <v>2455</v>
      </c>
      <c r="E1321" s="5">
        <f>IF('зведена (БАЛАНС) (2)'!E1321&gt;'зведена (БАЛАНС) (2)'!F1321,'зведена (БАЛАНС) (2)'!E1321-'зведена (БАЛАНС) (2)'!F1321,0)</f>
        <v>0</v>
      </c>
      <c r="F1321" s="5">
        <f>IF('зведена (БАЛАНС) (2)'!F1321&gt;'зведена (БАЛАНС) (2)'!E1321,'зведена (БАЛАНС) (2)'!F1321-'зведена (БАЛАНС) (2)'!E1321,0)</f>
        <v>12194.1</v>
      </c>
    </row>
    <row r="1322" spans="1:7" x14ac:dyDescent="0.25">
      <c r="A1322" s="38">
        <v>20</v>
      </c>
      <c r="B1322" s="34" t="s">
        <v>986</v>
      </c>
      <c r="C1322" s="18">
        <v>20545000000</v>
      </c>
      <c r="D1322" s="32" t="s">
        <v>2456</v>
      </c>
      <c r="E1322" s="5">
        <f>IF('зведена (БАЛАНС) (2)'!E1322&gt;'зведена (БАЛАНС) (2)'!F1322,'зведена (БАЛАНС) (2)'!E1322-'зведена (БАЛАНС) (2)'!F1322,0)</f>
        <v>0</v>
      </c>
      <c r="F1322" s="5">
        <f>IF('зведена (БАЛАНС) (2)'!F1322&gt;'зведена (БАЛАНС) (2)'!E1322,'зведена (БАЛАНС) (2)'!F1322-'зведена (БАЛАНС) (2)'!E1322,0)</f>
        <v>25575.4</v>
      </c>
    </row>
    <row r="1323" spans="1:7" x14ac:dyDescent="0.25">
      <c r="A1323" s="38">
        <v>20</v>
      </c>
      <c r="B1323" s="34" t="s">
        <v>985</v>
      </c>
      <c r="C1323" s="18">
        <v>20546000000</v>
      </c>
      <c r="D1323" s="32" t="s">
        <v>2457</v>
      </c>
      <c r="E1323" s="5">
        <f>IF('зведена (БАЛАНС) (2)'!E1323&gt;'зведена (БАЛАНС) (2)'!F1323,'зведена (БАЛАНС) (2)'!E1323-'зведена (БАЛАНС) (2)'!F1323,0)</f>
        <v>0</v>
      </c>
      <c r="F1323" s="5">
        <f>IF('зведена (БАЛАНС) (2)'!F1323&gt;'зведена (БАЛАНС) (2)'!E1323,'зведена (БАЛАНС) (2)'!F1323-'зведена (БАЛАНС) (2)'!E1323,0)</f>
        <v>24688.7</v>
      </c>
    </row>
    <row r="1324" spans="1:7" x14ac:dyDescent="0.25">
      <c r="A1324" s="38">
        <v>20</v>
      </c>
      <c r="B1324" s="34" t="s">
        <v>986</v>
      </c>
      <c r="C1324" s="18">
        <v>20547000000</v>
      </c>
      <c r="D1324" s="32" t="s">
        <v>2095</v>
      </c>
      <c r="E1324" s="5">
        <f>IF('зведена (БАЛАНС) (2)'!E1324&gt;'зведена (БАЛАНС) (2)'!F1324,'зведена (БАЛАНС) (2)'!E1324-'зведена (БАЛАНС) (2)'!F1324,0)</f>
        <v>0</v>
      </c>
      <c r="F1324" s="5">
        <f>IF('зведена (БАЛАНС) (2)'!F1324&gt;'зведена (БАЛАНС) (2)'!E1324,'зведена (БАЛАНС) (2)'!F1324-'зведена (БАЛАНС) (2)'!E1324,0)</f>
        <v>20364.400000000001</v>
      </c>
      <c r="G1324" s="28"/>
    </row>
    <row r="1325" spans="1:7" x14ac:dyDescent="0.25">
      <c r="A1325" s="38">
        <v>20</v>
      </c>
      <c r="B1325" s="34" t="s">
        <v>985</v>
      </c>
      <c r="C1325" s="18">
        <v>20548000000</v>
      </c>
      <c r="D1325" s="32" t="s">
        <v>2458</v>
      </c>
      <c r="E1325" s="5">
        <f>IF('зведена (БАЛАНС) (2)'!E1325&gt;'зведена (БАЛАНС) (2)'!F1325,'зведена (БАЛАНС) (2)'!E1325-'зведена (БАЛАНС) (2)'!F1325,0)</f>
        <v>0</v>
      </c>
      <c r="F1325" s="5">
        <f>IF('зведена (БАЛАНС) (2)'!F1325&gt;'зведена (БАЛАНС) (2)'!E1325,'зведена (БАЛАНС) (2)'!F1325-'зведена (БАЛАНС) (2)'!E1325,0)</f>
        <v>7249.1</v>
      </c>
      <c r="G1325" s="28"/>
    </row>
    <row r="1326" spans="1:7" x14ac:dyDescent="0.25">
      <c r="A1326" s="38">
        <v>20</v>
      </c>
      <c r="B1326" s="34" t="s">
        <v>983</v>
      </c>
      <c r="C1326" s="18">
        <v>20549000000</v>
      </c>
      <c r="D1326" s="32" t="s">
        <v>2844</v>
      </c>
      <c r="E1326" s="5">
        <f>IF('зведена (БАЛАНС) (2)'!E1326&gt;'зведена (БАЛАНС) (2)'!F1326,'зведена (БАЛАНС) (2)'!E1326-'зведена (БАЛАНС) (2)'!F1326,0)</f>
        <v>0</v>
      </c>
      <c r="F1326" s="5">
        <f>IF('зведена (БАЛАНС) (2)'!F1326&gt;'зведена (БАЛАНС) (2)'!E1326,'зведена (БАЛАНС) (2)'!F1326-'зведена (БАЛАНС) (2)'!E1326,0)</f>
        <v>21730.2</v>
      </c>
      <c r="G1326" s="28"/>
    </row>
    <row r="1327" spans="1:7" x14ac:dyDescent="0.25">
      <c r="A1327" s="38">
        <v>20</v>
      </c>
      <c r="B1327" s="34" t="s">
        <v>985</v>
      </c>
      <c r="C1327" s="18">
        <v>20550000000</v>
      </c>
      <c r="D1327" s="32" t="s">
        <v>2459</v>
      </c>
      <c r="E1327" s="5">
        <f>IF('зведена (БАЛАНС) (2)'!E1327&gt;'зведена (БАЛАНС) (2)'!F1327,'зведена (БАЛАНС) (2)'!E1327-'зведена (БАЛАНС) (2)'!F1327,0)</f>
        <v>0</v>
      </c>
      <c r="F1327" s="5">
        <f>IF('зведена (БАЛАНС) (2)'!F1327&gt;'зведена (БАЛАНС) (2)'!E1327,'зведена (БАЛАНС) (2)'!F1327-'зведена (БАЛАНС) (2)'!E1327,0)</f>
        <v>17268.3</v>
      </c>
      <c r="G1327" s="28"/>
    </row>
    <row r="1328" spans="1:7" x14ac:dyDescent="0.25">
      <c r="A1328" s="38">
        <v>20</v>
      </c>
      <c r="B1328" s="34" t="s">
        <v>985</v>
      </c>
      <c r="C1328" s="18">
        <v>20551000000</v>
      </c>
      <c r="D1328" s="32" t="s">
        <v>2460</v>
      </c>
      <c r="E1328" s="5">
        <f>IF('зведена (БАЛАНС) (2)'!E1328&gt;'зведена (БАЛАНС) (2)'!F1328,'зведена (БАЛАНС) (2)'!E1328-'зведена (БАЛАНС) (2)'!F1328,0)</f>
        <v>0</v>
      </c>
      <c r="F1328" s="5">
        <f>IF('зведена (БАЛАНС) (2)'!F1328&gt;'зведена (БАЛАНС) (2)'!E1328,'зведена (БАЛАНС) (2)'!F1328-'зведена (БАЛАНС) (2)'!E1328,0)</f>
        <v>13295.7</v>
      </c>
      <c r="G1328" s="28"/>
    </row>
    <row r="1329" spans="1:7" x14ac:dyDescent="0.25">
      <c r="A1329" s="38">
        <v>20</v>
      </c>
      <c r="B1329" s="34" t="s">
        <v>985</v>
      </c>
      <c r="C1329" s="18">
        <v>20552000000</v>
      </c>
      <c r="D1329" s="32" t="s">
        <v>2461</v>
      </c>
      <c r="E1329" s="5">
        <f>IF('зведена (БАЛАНС) (2)'!E1329&gt;'зведена (БАЛАНС) (2)'!F1329,'зведена (БАЛАНС) (2)'!E1329-'зведена (БАЛАНС) (2)'!F1329,0)</f>
        <v>0</v>
      </c>
      <c r="F1329" s="5">
        <f>IF('зведена (БАЛАНС) (2)'!F1329&gt;'зведена (БАЛАНС) (2)'!E1329,'зведена (БАЛАНС) (2)'!F1329-'зведена (БАЛАНС) (2)'!E1329,0)</f>
        <v>0</v>
      </c>
      <c r="G1329" s="28"/>
    </row>
    <row r="1330" spans="1:7" x14ac:dyDescent="0.25">
      <c r="A1330" s="38">
        <v>20</v>
      </c>
      <c r="B1330" s="34" t="s">
        <v>985</v>
      </c>
      <c r="C1330" s="18">
        <v>20553000000</v>
      </c>
      <c r="D1330" s="32" t="s">
        <v>2462</v>
      </c>
      <c r="E1330" s="5">
        <f>IF('зведена (БАЛАНС) (2)'!E1330&gt;'зведена (БАЛАНС) (2)'!F1330,'зведена (БАЛАНС) (2)'!E1330-'зведена (БАЛАНС) (2)'!F1330,0)</f>
        <v>0</v>
      </c>
      <c r="F1330" s="5">
        <f>IF('зведена (БАЛАНС) (2)'!F1330&gt;'зведена (БАЛАНС) (2)'!E1330,'зведена (БАЛАНС) (2)'!F1330-'зведена (БАЛАНС) (2)'!E1330,0)</f>
        <v>6197</v>
      </c>
      <c r="G1330" s="28"/>
    </row>
    <row r="1331" spans="1:7" x14ac:dyDescent="0.25">
      <c r="A1331" s="38">
        <v>20</v>
      </c>
      <c r="B1331" s="34" t="s">
        <v>986</v>
      </c>
      <c r="C1331" s="18">
        <v>20554000000</v>
      </c>
      <c r="D1331" s="32" t="s">
        <v>1063</v>
      </c>
      <c r="E1331" s="5">
        <f>IF('зведена (БАЛАНС) (2)'!E1331&gt;'зведена (БАЛАНС) (2)'!F1331,'зведена (БАЛАНС) (2)'!E1331-'зведена (БАЛАНС) (2)'!F1331,0)</f>
        <v>352825.5</v>
      </c>
      <c r="F1331" s="5">
        <f>IF('зведена (БАЛАНС) (2)'!F1331&gt;'зведена (БАЛАНС) (2)'!E1331,'зведена (БАЛАНС) (2)'!F1331-'зведена (БАЛАНС) (2)'!E1331,0)</f>
        <v>0</v>
      </c>
      <c r="G1331" s="29"/>
    </row>
    <row r="1332" spans="1:7" x14ac:dyDescent="0.25">
      <c r="A1332" s="38">
        <v>20</v>
      </c>
      <c r="B1332" s="34" t="s">
        <v>986</v>
      </c>
      <c r="C1332" s="18">
        <v>20555000000</v>
      </c>
      <c r="D1332" s="32" t="s">
        <v>2463</v>
      </c>
      <c r="E1332" s="5">
        <f>IF('зведена (БАЛАНС) (2)'!E1332&gt;'зведена (БАЛАНС) (2)'!F1332,'зведена (БАЛАНС) (2)'!E1332-'зведена (БАЛАНС) (2)'!F1332,0)</f>
        <v>12749.4</v>
      </c>
      <c r="F1332" s="5">
        <f>IF('зведена (БАЛАНС) (2)'!F1332&gt;'зведена (БАЛАНС) (2)'!E1332,'зведена (БАЛАНС) (2)'!F1332-'зведена (БАЛАНС) (2)'!E1332,0)</f>
        <v>0</v>
      </c>
      <c r="G1332" s="29"/>
    </row>
    <row r="1333" spans="1:7" x14ac:dyDescent="0.25">
      <c r="A1333" s="38">
        <v>20</v>
      </c>
      <c r="B1333" s="34" t="s">
        <v>985</v>
      </c>
      <c r="C1333" s="18">
        <v>20556000000</v>
      </c>
      <c r="D1333" s="32" t="s">
        <v>2464</v>
      </c>
      <c r="E1333" s="5">
        <f>IF('зведена (БАЛАНС) (2)'!E1333&gt;'зведена (БАЛАНС) (2)'!F1333,'зведена (БАЛАНС) (2)'!E1333-'зведена (БАЛАНС) (2)'!F1333,0)</f>
        <v>0</v>
      </c>
      <c r="F1333" s="5">
        <f>IF('зведена (БАЛАНС) (2)'!F1333&gt;'зведена (БАЛАНС) (2)'!E1333,'зведена (БАЛАНС) (2)'!F1333-'зведена (БАЛАНС) (2)'!E1333,0)</f>
        <v>3774.5</v>
      </c>
      <c r="G1333" s="29"/>
    </row>
    <row r="1334" spans="1:7" x14ac:dyDescent="0.25">
      <c r="A1334" s="36">
        <v>21</v>
      </c>
      <c r="B1334" s="17" t="s">
        <v>7</v>
      </c>
      <c r="C1334" s="17" t="s">
        <v>814</v>
      </c>
      <c r="D1334" s="11" t="s">
        <v>859</v>
      </c>
      <c r="E1334" s="11">
        <f>E1335+E1336+E1342</f>
        <v>1287.8</v>
      </c>
      <c r="F1334" s="11">
        <f>F1335+F1336+F1342</f>
        <v>631095.69999999995</v>
      </c>
      <c r="G1334" s="29"/>
    </row>
    <row r="1335" spans="1:7" x14ac:dyDescent="0.25">
      <c r="A1335" s="38">
        <v>21</v>
      </c>
      <c r="B1335" s="34" t="s">
        <v>6</v>
      </c>
      <c r="C1335" s="18" t="s">
        <v>184</v>
      </c>
      <c r="D1335" s="32" t="s">
        <v>860</v>
      </c>
      <c r="E1335" s="5">
        <f>IF('зведена (БАЛАНС) (2)'!E1335&gt;'зведена (БАЛАНС) (2)'!F1335,'зведена (БАЛАНС) (2)'!E1335-'зведена (БАЛАНС) (2)'!F1335,0)</f>
        <v>0</v>
      </c>
      <c r="F1335" s="5">
        <f>IF('зведена (БАЛАНС) (2)'!F1335&gt;'зведена (БАЛАНС) (2)'!E1335,'зведена (БАЛАНС) (2)'!F1335-'зведена (БАЛАНС) (2)'!E1335,0)</f>
        <v>121308.8</v>
      </c>
      <c r="G1335" s="28"/>
    </row>
    <row r="1336" spans="1:7" x14ac:dyDescent="0.25">
      <c r="A1336" s="37">
        <v>21</v>
      </c>
      <c r="B1336" s="19" t="s">
        <v>5</v>
      </c>
      <c r="C1336" s="19" t="s">
        <v>815</v>
      </c>
      <c r="D1336" s="7" t="s">
        <v>2814</v>
      </c>
      <c r="E1336" s="7">
        <f>SUM(E1337:E1341)</f>
        <v>0</v>
      </c>
      <c r="F1336" s="7">
        <f>SUM(F1337:F1341)</f>
        <v>0</v>
      </c>
      <c r="G1336" s="28"/>
    </row>
    <row r="1337" spans="1:7" x14ac:dyDescent="0.25">
      <c r="A1337" s="38">
        <v>21</v>
      </c>
      <c r="B1337" s="34" t="s">
        <v>4</v>
      </c>
      <c r="C1337" s="18" t="s">
        <v>2758</v>
      </c>
      <c r="D1337" s="32" t="s">
        <v>2759</v>
      </c>
      <c r="E1337" s="5">
        <f>IF('зведена (БАЛАНС) (2)'!E1337&gt;'зведена (БАЛАНС) (2)'!F1337,'зведена (БАЛАНС) (2)'!E1337-'зведена (БАЛАНС) (2)'!F1337,0)</f>
        <v>0</v>
      </c>
      <c r="F1337" s="5">
        <f>IF('зведена (БАЛАНС) (2)'!F1337&gt;'зведена (БАЛАНС) (2)'!E1337,'зведена (БАЛАНС) (2)'!F1337-'зведена (БАЛАНС) (2)'!E1337,0)</f>
        <v>0</v>
      </c>
      <c r="G1337" s="28"/>
    </row>
    <row r="1338" spans="1:7" x14ac:dyDescent="0.25">
      <c r="A1338" s="38">
        <v>21</v>
      </c>
      <c r="B1338" s="34" t="s">
        <v>4</v>
      </c>
      <c r="C1338" s="18" t="s">
        <v>185</v>
      </c>
      <c r="D1338" s="32" t="s">
        <v>958</v>
      </c>
      <c r="E1338" s="5">
        <f>IF('зведена (БАЛАНС) (2)'!E1338&gt;'зведена (БАЛАНС) (2)'!F1338,'зведена (БАЛАНС) (2)'!E1338-'зведена (БАЛАНС) (2)'!F1338,0)</f>
        <v>0</v>
      </c>
      <c r="F1338" s="5">
        <f>IF('зведена (БАЛАНС) (2)'!F1338&gt;'зведена (БАЛАНС) (2)'!E1338,'зведена (БАЛАНС) (2)'!F1338-'зведена (БАЛАНС) (2)'!E1338,0)</f>
        <v>0</v>
      </c>
      <c r="G1338" s="28"/>
    </row>
    <row r="1339" spans="1:7" x14ac:dyDescent="0.25">
      <c r="A1339" s="38">
        <v>21</v>
      </c>
      <c r="B1339" s="34" t="s">
        <v>4</v>
      </c>
      <c r="C1339" s="18" t="s">
        <v>186</v>
      </c>
      <c r="D1339" s="32" t="s">
        <v>959</v>
      </c>
      <c r="E1339" s="5">
        <f>IF('зведена (БАЛАНС) (2)'!E1339&gt;'зведена (БАЛАНС) (2)'!F1339,'зведена (БАЛАНС) (2)'!E1339-'зведена (БАЛАНС) (2)'!F1339,0)</f>
        <v>0</v>
      </c>
      <c r="F1339" s="5">
        <f>IF('зведена (БАЛАНС) (2)'!F1339&gt;'зведена (БАЛАНС) (2)'!E1339,'зведена (БАЛАНС) (2)'!F1339-'зведена (БАЛАНС) (2)'!E1339,0)</f>
        <v>0</v>
      </c>
      <c r="G1339" s="28"/>
    </row>
    <row r="1340" spans="1:7" x14ac:dyDescent="0.25">
      <c r="A1340" s="38">
        <v>21</v>
      </c>
      <c r="B1340" s="34" t="s">
        <v>4</v>
      </c>
      <c r="C1340" s="18" t="s">
        <v>2760</v>
      </c>
      <c r="D1340" s="32" t="s">
        <v>2761</v>
      </c>
      <c r="E1340" s="5">
        <f>IF('зведена (БАЛАНС) (2)'!E1340&gt;'зведена (БАЛАНС) (2)'!F1340,'зведена (БАЛАНС) (2)'!E1340-'зведена (БАЛАНС) (2)'!F1340,0)</f>
        <v>0</v>
      </c>
      <c r="F1340" s="5">
        <f>IF('зведена (БАЛАНС) (2)'!F1340&gt;'зведена (БАЛАНС) (2)'!E1340,'зведена (БАЛАНС) (2)'!F1340-'зведена (БАЛАНС) (2)'!E1340,0)</f>
        <v>0</v>
      </c>
      <c r="G1340" s="28"/>
    </row>
    <row r="1341" spans="1:7" x14ac:dyDescent="0.25">
      <c r="A1341" s="38">
        <v>21</v>
      </c>
      <c r="B1341" s="34" t="s">
        <v>4</v>
      </c>
      <c r="C1341" s="18">
        <v>21319200000</v>
      </c>
      <c r="D1341" s="32" t="s">
        <v>2465</v>
      </c>
      <c r="E1341" s="5">
        <f>IF('зведена (БАЛАНС) (2)'!E1341&gt;'зведена (БАЛАНС) (2)'!F1341,'зведена (БАЛАНС) (2)'!E1341-'зведена (БАЛАНС) (2)'!F1341,0)</f>
        <v>0</v>
      </c>
      <c r="F1341" s="5">
        <f>IF('зведена (БАЛАНС) (2)'!F1341&gt;'зведена (БАЛАНС) (2)'!E1341,'зведена (БАЛАНС) (2)'!F1341-'зведена (БАЛАНС) (2)'!E1341,0)</f>
        <v>0</v>
      </c>
      <c r="G1341" s="28"/>
    </row>
    <row r="1342" spans="1:7" x14ac:dyDescent="0.25">
      <c r="A1342" s="37">
        <v>21</v>
      </c>
      <c r="B1342" s="19" t="s">
        <v>28</v>
      </c>
      <c r="C1342" s="19" t="s">
        <v>816</v>
      </c>
      <c r="D1342" s="20" t="s">
        <v>2787</v>
      </c>
      <c r="E1342" s="7">
        <f>SUM(E1343:E1391)</f>
        <v>1287.8</v>
      </c>
      <c r="F1342" s="7">
        <f>SUM(F1343:F1391)</f>
        <v>509786.89999999997</v>
      </c>
      <c r="G1342" s="28"/>
    </row>
    <row r="1343" spans="1:7" x14ac:dyDescent="0.25">
      <c r="A1343" s="38">
        <v>21</v>
      </c>
      <c r="B1343" s="34" t="s">
        <v>984</v>
      </c>
      <c r="C1343" s="18" t="s">
        <v>187</v>
      </c>
      <c r="D1343" s="32" t="s">
        <v>2466</v>
      </c>
      <c r="E1343" s="5">
        <f>IF('зведена (БАЛАНС) (2)'!E1343&gt;'зведена (БАЛАНС) (2)'!F1343,'зведена (БАЛАНС) (2)'!E1343-'зведена (БАЛАНС) (2)'!F1343,0)</f>
        <v>0</v>
      </c>
      <c r="F1343" s="5">
        <f>IF('зведена (БАЛАНС) (2)'!F1343&gt;'зведена (БАЛАНС) (2)'!E1343,'зведена (БАЛАНС) (2)'!F1343-'зведена (БАЛАНС) (2)'!E1343,0)</f>
        <v>2411.6</v>
      </c>
      <c r="G1343" s="28"/>
    </row>
    <row r="1344" spans="1:7" x14ac:dyDescent="0.25">
      <c r="A1344" s="38">
        <v>21</v>
      </c>
      <c r="B1344" s="34" t="s">
        <v>985</v>
      </c>
      <c r="C1344" s="18" t="s">
        <v>433</v>
      </c>
      <c r="D1344" s="32" t="s">
        <v>3119</v>
      </c>
      <c r="E1344" s="5">
        <f>IF('зведена (БАЛАНС) (2)'!E1344&gt;'зведена (БАЛАНС) (2)'!F1344,'зведена (БАЛАНС) (2)'!E1344-'зведена (БАЛАНС) (2)'!F1344,0)</f>
        <v>0</v>
      </c>
      <c r="F1344" s="5">
        <f>IF('зведена (БАЛАНС) (2)'!F1344&gt;'зведена (БАЛАНС) (2)'!E1344,'зведена (БАЛАНС) (2)'!F1344-'зведена (БАЛАНС) (2)'!E1344,0)</f>
        <v>5149.2</v>
      </c>
      <c r="G1344" s="28"/>
    </row>
    <row r="1345" spans="1:7" x14ac:dyDescent="0.25">
      <c r="A1345" s="38">
        <v>21</v>
      </c>
      <c r="B1345" s="34" t="s">
        <v>985</v>
      </c>
      <c r="C1345" s="18" t="s">
        <v>434</v>
      </c>
      <c r="D1345" s="32" t="s">
        <v>3120</v>
      </c>
      <c r="E1345" s="5">
        <f>IF('зведена (БАЛАНС) (2)'!E1345&gt;'зведена (БАЛАНС) (2)'!F1345,'зведена (БАЛАНС) (2)'!E1345-'зведена (БАЛАНС) (2)'!F1345,0)</f>
        <v>0</v>
      </c>
      <c r="F1345" s="5">
        <f>IF('зведена (БАЛАНС) (2)'!F1345&gt;'зведена (БАЛАНС) (2)'!E1345,'зведена (БАЛАНС) (2)'!F1345-'зведена (БАЛАНС) (2)'!E1345,0)</f>
        <v>9394.4</v>
      </c>
      <c r="G1345" s="28"/>
    </row>
    <row r="1346" spans="1:7" x14ac:dyDescent="0.25">
      <c r="A1346" s="38">
        <v>21</v>
      </c>
      <c r="B1346" s="34" t="s">
        <v>985</v>
      </c>
      <c r="C1346" s="18" t="s">
        <v>435</v>
      </c>
      <c r="D1346" s="32" t="s">
        <v>1368</v>
      </c>
      <c r="E1346" s="5">
        <f>IF('зведена (БАЛАНС) (2)'!E1346&gt;'зведена (БАЛАНС) (2)'!F1346,'зведена (БАЛАНС) (2)'!E1346-'зведена (БАЛАНС) (2)'!F1346,0)</f>
        <v>0</v>
      </c>
      <c r="F1346" s="5">
        <f>IF('зведена (БАЛАНС) (2)'!F1346&gt;'зведена (БАЛАНС) (2)'!E1346,'зведена (БАЛАНС) (2)'!F1346-'зведена (БАЛАНС) (2)'!E1346,0)</f>
        <v>0</v>
      </c>
      <c r="G1346" s="28"/>
    </row>
    <row r="1347" spans="1:7" x14ac:dyDescent="0.25">
      <c r="A1347" s="38">
        <v>21</v>
      </c>
      <c r="B1347" s="34" t="s">
        <v>985</v>
      </c>
      <c r="C1347" s="18" t="s">
        <v>436</v>
      </c>
      <c r="D1347" s="32" t="s">
        <v>3121</v>
      </c>
      <c r="E1347" s="5">
        <f>IF('зведена (БАЛАНС) (2)'!E1347&gt;'зведена (БАЛАНС) (2)'!F1347,'зведена (БАЛАНС) (2)'!E1347-'зведена (БАЛАНС) (2)'!F1347,0)</f>
        <v>0</v>
      </c>
      <c r="F1347" s="5">
        <f>IF('зведена (БАЛАНС) (2)'!F1347&gt;'зведена (БАЛАНС) (2)'!E1347,'зведена (БАЛАНС) (2)'!F1347-'зведена (БАЛАНС) (2)'!E1347,0)</f>
        <v>7625.7</v>
      </c>
      <c r="G1347" s="28"/>
    </row>
    <row r="1348" spans="1:7" x14ac:dyDescent="0.25">
      <c r="A1348" s="38">
        <v>21</v>
      </c>
      <c r="B1348" s="34" t="s">
        <v>984</v>
      </c>
      <c r="C1348" s="18" t="s">
        <v>437</v>
      </c>
      <c r="D1348" s="32" t="s">
        <v>2470</v>
      </c>
      <c r="E1348" s="5">
        <f>IF('зведена (БАЛАНС) (2)'!E1348&gt;'зведена (БАЛАНС) (2)'!F1348,'зведена (БАЛАНС) (2)'!E1348-'зведена (БАЛАНС) (2)'!F1348,0)</f>
        <v>0</v>
      </c>
      <c r="F1348" s="5">
        <f>IF('зведена (БАЛАНС) (2)'!F1348&gt;'зведена (БАЛАНС) (2)'!E1348,'зведена (БАЛАНС) (2)'!F1348-'зведена (БАЛАНС) (2)'!E1348,0)</f>
        <v>4367.2</v>
      </c>
      <c r="G1348" s="28"/>
    </row>
    <row r="1349" spans="1:7" x14ac:dyDescent="0.25">
      <c r="A1349" s="38">
        <v>21</v>
      </c>
      <c r="B1349" s="34" t="s">
        <v>984</v>
      </c>
      <c r="C1349" s="18" t="s">
        <v>438</v>
      </c>
      <c r="D1349" s="32" t="s">
        <v>2471</v>
      </c>
      <c r="E1349" s="5">
        <f>IF('зведена (БАЛАНС) (2)'!E1349&gt;'зведена (БАЛАНС) (2)'!F1349,'зведена (БАЛАНС) (2)'!E1349-'зведена (БАЛАНС) (2)'!F1349,0)</f>
        <v>0</v>
      </c>
      <c r="F1349" s="5">
        <f>IF('зведена (БАЛАНС) (2)'!F1349&gt;'зведена (БАЛАНС) (2)'!E1349,'зведена (БАЛАНС) (2)'!F1349-'зведена (БАЛАНС) (2)'!E1349,0)</f>
        <v>10910.5</v>
      </c>
      <c r="G1349" s="28"/>
    </row>
    <row r="1350" spans="1:7" x14ac:dyDescent="0.25">
      <c r="A1350" s="38">
        <v>21</v>
      </c>
      <c r="B1350" s="34" t="s">
        <v>984</v>
      </c>
      <c r="C1350" s="18" t="s">
        <v>439</v>
      </c>
      <c r="D1350" s="32" t="s">
        <v>2472</v>
      </c>
      <c r="E1350" s="5">
        <f>IF('зведена (БАЛАНС) (2)'!E1350&gt;'зведена (БАЛАНС) (2)'!F1350,'зведена (БАЛАНС) (2)'!E1350-'зведена (БАЛАНС) (2)'!F1350,0)</f>
        <v>0</v>
      </c>
      <c r="F1350" s="5">
        <f>IF('зведена (БАЛАНС) (2)'!F1350&gt;'зведена (БАЛАНС) (2)'!E1350,'зведена (БАЛАНС) (2)'!F1350-'зведена (БАЛАНС) (2)'!E1350,0)</f>
        <v>0</v>
      </c>
      <c r="G1350" s="28"/>
    </row>
    <row r="1351" spans="1:7" x14ac:dyDescent="0.25">
      <c r="A1351" s="38">
        <v>21</v>
      </c>
      <c r="B1351" s="34" t="s">
        <v>984</v>
      </c>
      <c r="C1351" s="18" t="s">
        <v>440</v>
      </c>
      <c r="D1351" s="32" t="s">
        <v>2473</v>
      </c>
      <c r="E1351" s="5">
        <f>IF('зведена (БАЛАНС) (2)'!E1351&gt;'зведена (БАЛАНС) (2)'!F1351,'зведена (БАЛАНС) (2)'!E1351-'зведена (БАЛАНС) (2)'!F1351,0)</f>
        <v>1287.8</v>
      </c>
      <c r="F1351" s="5">
        <f>IF('зведена (БАЛАНС) (2)'!F1351&gt;'зведена (БАЛАНС) (2)'!E1351,'зведена (БАЛАНС) (2)'!F1351-'зведена (БАЛАНС) (2)'!E1351,0)</f>
        <v>0</v>
      </c>
      <c r="G1351" s="28"/>
    </row>
    <row r="1352" spans="1:7" ht="40.5" customHeight="1" x14ac:dyDescent="0.25">
      <c r="A1352" s="38">
        <v>21</v>
      </c>
      <c r="B1352" s="34" t="s">
        <v>984</v>
      </c>
      <c r="C1352" s="18" t="s">
        <v>441</v>
      </c>
      <c r="D1352" s="32" t="s">
        <v>2474</v>
      </c>
      <c r="E1352" s="5">
        <f>IF('зведена (БАЛАНС) (2)'!E1352&gt;'зведена (БАЛАНС) (2)'!F1352,'зведена (БАЛАНС) (2)'!E1352-'зведена (БАЛАНС) (2)'!F1352,0)</f>
        <v>0</v>
      </c>
      <c r="F1352" s="5">
        <f>IF('зведена (БАЛАНС) (2)'!F1352&gt;'зведена (БАЛАНС) (2)'!E1352,'зведена (БАЛАНС) (2)'!F1352-'зведена (БАЛАНС) (2)'!E1352,0)</f>
        <v>0</v>
      </c>
      <c r="G1352" s="28"/>
    </row>
    <row r="1353" spans="1:7" x14ac:dyDescent="0.25">
      <c r="A1353" s="38">
        <v>21</v>
      </c>
      <c r="B1353" s="34" t="s">
        <v>984</v>
      </c>
      <c r="C1353" s="18" t="s">
        <v>442</v>
      </c>
      <c r="D1353" s="32" t="s">
        <v>2475</v>
      </c>
      <c r="E1353" s="5">
        <f>IF('зведена (БАЛАНС) (2)'!E1353&gt;'зведена (БАЛАНС) (2)'!F1353,'зведена (БАЛАНС) (2)'!E1353-'зведена (БАЛАНС) (2)'!F1353,0)</f>
        <v>0</v>
      </c>
      <c r="F1353" s="5">
        <f>IF('зведена (БАЛАНС) (2)'!F1353&gt;'зведена (БАЛАНС) (2)'!E1353,'зведена (БАЛАНС) (2)'!F1353-'зведена (БАЛАНС) (2)'!E1353,0)</f>
        <v>1968.5</v>
      </c>
      <c r="G1353" s="28"/>
    </row>
    <row r="1354" spans="1:7" x14ac:dyDescent="0.25">
      <c r="A1354" s="38">
        <v>21</v>
      </c>
      <c r="B1354" s="34" t="s">
        <v>984</v>
      </c>
      <c r="C1354" s="18" t="s">
        <v>499</v>
      </c>
      <c r="D1354" s="32" t="s">
        <v>2476</v>
      </c>
      <c r="E1354" s="5">
        <f>IF('зведена (БАЛАНС) (2)'!E1354&gt;'зведена (БАЛАНС) (2)'!F1354,'зведена (БАЛАНС) (2)'!E1354-'зведена (БАЛАНС) (2)'!F1354,0)</f>
        <v>0</v>
      </c>
      <c r="F1354" s="5">
        <f>IF('зведена (БАЛАНС) (2)'!F1354&gt;'зведена (БАЛАНС) (2)'!E1354,'зведена (БАЛАНС) (2)'!F1354-'зведена (БАЛАНС) (2)'!E1354,0)</f>
        <v>21705.7</v>
      </c>
      <c r="G1354" s="28"/>
    </row>
    <row r="1355" spans="1:7" x14ac:dyDescent="0.25">
      <c r="A1355" s="38">
        <v>21</v>
      </c>
      <c r="B1355" s="34" t="s">
        <v>985</v>
      </c>
      <c r="C1355" s="18" t="s">
        <v>500</v>
      </c>
      <c r="D1355" s="32" t="s">
        <v>2477</v>
      </c>
      <c r="E1355" s="5">
        <f>IF('зведена (БАЛАНС) (2)'!E1355&gt;'зведена (БАЛАНС) (2)'!F1355,'зведена (БАЛАНС) (2)'!E1355-'зведена (БАЛАНС) (2)'!F1355,0)</f>
        <v>0</v>
      </c>
      <c r="F1355" s="5">
        <f>IF('зведена (БАЛАНС) (2)'!F1355&gt;'зведена (БАЛАНС) (2)'!E1355,'зведена (БАЛАНС) (2)'!F1355-'зведена (БАЛАНС) (2)'!E1355,0)</f>
        <v>11907</v>
      </c>
      <c r="G1355" s="28"/>
    </row>
    <row r="1356" spans="1:7" x14ac:dyDescent="0.25">
      <c r="A1356" s="38">
        <v>21</v>
      </c>
      <c r="B1356" s="34" t="s">
        <v>984</v>
      </c>
      <c r="C1356" s="18" t="s">
        <v>632</v>
      </c>
      <c r="D1356" s="32" t="s">
        <v>2478</v>
      </c>
      <c r="E1356" s="5">
        <f>IF('зведена (БАЛАНС) (2)'!E1356&gt;'зведена (БАЛАНС) (2)'!F1356,'зведена (БАЛАНС) (2)'!E1356-'зведена (БАЛАНС) (2)'!F1356,0)</f>
        <v>0</v>
      </c>
      <c r="F1356" s="5">
        <f>IF('зведена (БАЛАНС) (2)'!F1356&gt;'зведена (БАЛАНС) (2)'!E1356,'зведена (БАЛАНС) (2)'!F1356-'зведена (БАЛАНС) (2)'!E1356,0)</f>
        <v>15893.2</v>
      </c>
      <c r="G1356" s="28"/>
    </row>
    <row r="1357" spans="1:7" x14ac:dyDescent="0.25">
      <c r="A1357" s="38">
        <v>21</v>
      </c>
      <c r="B1357" s="34" t="s">
        <v>985</v>
      </c>
      <c r="C1357" s="18" t="s">
        <v>633</v>
      </c>
      <c r="D1357" s="32" t="s">
        <v>2479</v>
      </c>
      <c r="E1357" s="5">
        <f>IF('зведена (БАЛАНС) (2)'!E1357&gt;'зведена (БАЛАНС) (2)'!F1357,'зведена (БАЛАНС) (2)'!E1357-'зведена (БАЛАНС) (2)'!F1357,0)</f>
        <v>0</v>
      </c>
      <c r="F1357" s="5">
        <f>IF('зведена (БАЛАНС) (2)'!F1357&gt;'зведена (БАЛАНС) (2)'!E1357,'зведена (БАЛАНС) (2)'!F1357-'зведена (БАЛАНС) (2)'!E1357,0)</f>
        <v>18999.3</v>
      </c>
      <c r="G1357" s="28"/>
    </row>
    <row r="1358" spans="1:7" x14ac:dyDescent="0.25">
      <c r="A1358" s="38">
        <v>21</v>
      </c>
      <c r="B1358" s="34" t="s">
        <v>984</v>
      </c>
      <c r="C1358" s="18" t="s">
        <v>634</v>
      </c>
      <c r="D1358" s="32" t="s">
        <v>2480</v>
      </c>
      <c r="E1358" s="5">
        <f>IF('зведена (БАЛАНС) (2)'!E1358&gt;'зведена (БАЛАНС) (2)'!F1358,'зведена (БАЛАНС) (2)'!E1358-'зведена (БАЛАНС) (2)'!F1358,0)</f>
        <v>0</v>
      </c>
      <c r="F1358" s="5">
        <f>IF('зведена (БАЛАНС) (2)'!F1358&gt;'зведена (БАЛАНС) (2)'!E1358,'зведена (БАЛАНС) (2)'!F1358-'зведена (БАЛАНС) (2)'!E1358,0)</f>
        <v>0</v>
      </c>
      <c r="G1358" s="28"/>
    </row>
    <row r="1359" spans="1:7" x14ac:dyDescent="0.25">
      <c r="A1359" s="38">
        <v>21</v>
      </c>
      <c r="B1359" s="34" t="s">
        <v>985</v>
      </c>
      <c r="C1359" s="18" t="s">
        <v>635</v>
      </c>
      <c r="D1359" s="32" t="s">
        <v>2481</v>
      </c>
      <c r="E1359" s="5">
        <f>IF('зведена (БАЛАНС) (2)'!E1359&gt;'зведена (БАЛАНС) (2)'!F1359,'зведена (БАЛАНС) (2)'!E1359-'зведена (БАЛАНС) (2)'!F1359,0)</f>
        <v>0</v>
      </c>
      <c r="F1359" s="5">
        <f>IF('зведена (БАЛАНС) (2)'!F1359&gt;'зведена (БАЛАНС) (2)'!E1359,'зведена (БАЛАНС) (2)'!F1359-'зведена (БАЛАНС) (2)'!E1359,0)</f>
        <v>7873.3</v>
      </c>
      <c r="G1359" s="28"/>
    </row>
    <row r="1360" spans="1:7" x14ac:dyDescent="0.25">
      <c r="A1360" s="38">
        <v>21</v>
      </c>
      <c r="B1360" s="34" t="s">
        <v>984</v>
      </c>
      <c r="C1360" s="18" t="s">
        <v>636</v>
      </c>
      <c r="D1360" s="32" t="s">
        <v>2482</v>
      </c>
      <c r="E1360" s="5">
        <f>IF('зведена (БАЛАНС) (2)'!E1360&gt;'зведена (БАЛАНС) (2)'!F1360,'зведена (БАЛАНС) (2)'!E1360-'зведена (БАЛАНС) (2)'!F1360,0)</f>
        <v>0</v>
      </c>
      <c r="F1360" s="5">
        <f>IF('зведена (БАЛАНС) (2)'!F1360&gt;'зведена (БАЛАНС) (2)'!E1360,'зведена (БАЛАНС) (2)'!F1360-'зведена (БАЛАНС) (2)'!E1360,0)</f>
        <v>9417.6</v>
      </c>
      <c r="G1360" s="28"/>
    </row>
    <row r="1361" spans="1:7" x14ac:dyDescent="0.25">
      <c r="A1361" s="38">
        <v>21</v>
      </c>
      <c r="B1361" s="34" t="s">
        <v>984</v>
      </c>
      <c r="C1361" s="18" t="s">
        <v>637</v>
      </c>
      <c r="D1361" s="32" t="s">
        <v>2483</v>
      </c>
      <c r="E1361" s="5">
        <f>IF('зведена (БАЛАНС) (2)'!E1361&gt;'зведена (БАЛАНС) (2)'!F1361,'зведена (БАЛАНС) (2)'!E1361-'зведена (БАЛАНС) (2)'!F1361,0)</f>
        <v>0</v>
      </c>
      <c r="F1361" s="5">
        <f>IF('зведена (БАЛАНС) (2)'!F1361&gt;'зведена (БАЛАНС) (2)'!E1361,'зведена (БАЛАНС) (2)'!F1361-'зведена (БАЛАНС) (2)'!E1361,0)</f>
        <v>10937.4</v>
      </c>
      <c r="G1361" s="28"/>
    </row>
    <row r="1362" spans="1:7" x14ac:dyDescent="0.25">
      <c r="A1362" s="38">
        <v>21</v>
      </c>
      <c r="B1362" s="34" t="s">
        <v>984</v>
      </c>
      <c r="C1362" s="18" t="s">
        <v>638</v>
      </c>
      <c r="D1362" s="32" t="s">
        <v>1659</v>
      </c>
      <c r="E1362" s="5">
        <f>IF('зведена (БАЛАНС) (2)'!E1362&gt;'зведена (БАЛАНС) (2)'!F1362,'зведена (БАЛАНС) (2)'!E1362-'зведена (БАЛАНС) (2)'!F1362,0)</f>
        <v>0</v>
      </c>
      <c r="F1362" s="5">
        <f>IF('зведена (БАЛАНС) (2)'!F1362&gt;'зведена (БАЛАНС) (2)'!E1362,'зведена (БАЛАНС) (2)'!F1362-'зведена (БАЛАНС) (2)'!E1362,0)</f>
        <v>1157</v>
      </c>
      <c r="G1362" s="28"/>
    </row>
    <row r="1363" spans="1:7" x14ac:dyDescent="0.25">
      <c r="A1363" s="38">
        <v>21</v>
      </c>
      <c r="B1363" s="34" t="s">
        <v>985</v>
      </c>
      <c r="C1363" s="18" t="s">
        <v>639</v>
      </c>
      <c r="D1363" s="32" t="s">
        <v>2484</v>
      </c>
      <c r="E1363" s="5">
        <f>IF('зведена (БАЛАНС) (2)'!E1363&gt;'зведена (БАЛАНС) (2)'!F1363,'зведена (БАЛАНС) (2)'!E1363-'зведена (БАЛАНС) (2)'!F1363,0)</f>
        <v>0</v>
      </c>
      <c r="F1363" s="5">
        <f>IF('зведена (БАЛАНС) (2)'!F1363&gt;'зведена (БАЛАНС) (2)'!E1363,'зведена (БАЛАНС) (2)'!F1363-'зведена (БАЛАНС) (2)'!E1363,0)</f>
        <v>4632.3999999999996</v>
      </c>
      <c r="G1363" s="27"/>
    </row>
    <row r="1364" spans="1:7" x14ac:dyDescent="0.25">
      <c r="A1364" s="38">
        <v>21</v>
      </c>
      <c r="B1364" s="34" t="s">
        <v>984</v>
      </c>
      <c r="C1364" s="18" t="s">
        <v>640</v>
      </c>
      <c r="D1364" s="32" t="s">
        <v>2485</v>
      </c>
      <c r="E1364" s="5">
        <f>IF('зведена (БАЛАНС) (2)'!E1364&gt;'зведена (БАЛАНС) (2)'!F1364,'зведена (БАЛАНС) (2)'!E1364-'зведена (БАЛАНС) (2)'!F1364,0)</f>
        <v>0</v>
      </c>
      <c r="F1364" s="5">
        <f>IF('зведена (БАЛАНС) (2)'!F1364&gt;'зведена (БАЛАНС) (2)'!E1364,'зведена (БАЛАНС) (2)'!F1364-'зведена (БАЛАНС) (2)'!E1364,0)</f>
        <v>19359.8</v>
      </c>
    </row>
    <row r="1365" spans="1:7" x14ac:dyDescent="0.25">
      <c r="A1365" s="38">
        <v>21</v>
      </c>
      <c r="B1365" s="34" t="s">
        <v>985</v>
      </c>
      <c r="C1365" s="18" t="s">
        <v>641</v>
      </c>
      <c r="D1365" s="32" t="s">
        <v>2486</v>
      </c>
      <c r="E1365" s="5">
        <f>IF('зведена (БАЛАНС) (2)'!E1365&gt;'зведена (БАЛАНС) (2)'!F1365,'зведена (БАЛАНС) (2)'!E1365-'зведена (БАЛАНС) (2)'!F1365,0)</f>
        <v>0</v>
      </c>
      <c r="F1365" s="5">
        <f>IF('зведена (БАЛАНС) (2)'!F1365&gt;'зведена (БАЛАНС) (2)'!E1365,'зведена (БАЛАНС) (2)'!F1365-'зведена (БАЛАНС) (2)'!E1365,0)</f>
        <v>5063.6000000000004</v>
      </c>
      <c r="G1365" s="28"/>
    </row>
    <row r="1366" spans="1:7" x14ac:dyDescent="0.25">
      <c r="A1366" s="38">
        <v>21</v>
      </c>
      <c r="B1366" s="34" t="s">
        <v>984</v>
      </c>
      <c r="C1366" s="18" t="s">
        <v>716</v>
      </c>
      <c r="D1366" s="32" t="s">
        <v>2487</v>
      </c>
      <c r="E1366" s="5">
        <f>IF('зведена (БАЛАНС) (2)'!E1366&gt;'зведена (БАЛАНС) (2)'!F1366,'зведена (БАЛАНС) (2)'!E1366-'зведена (БАЛАНС) (2)'!F1366,0)</f>
        <v>0</v>
      </c>
      <c r="F1366" s="5">
        <f>IF('зведена (БАЛАНС) (2)'!F1366&gt;'зведена (БАЛАНС) (2)'!E1366,'зведена (БАЛАНС) (2)'!F1366-'зведена (БАЛАНС) (2)'!E1366,0)</f>
        <v>7417.5</v>
      </c>
    </row>
    <row r="1367" spans="1:7" x14ac:dyDescent="0.25">
      <c r="A1367" s="38">
        <v>21</v>
      </c>
      <c r="B1367" s="34" t="s">
        <v>984</v>
      </c>
      <c r="C1367" s="18">
        <v>21527000000</v>
      </c>
      <c r="D1367" s="32" t="s">
        <v>2488</v>
      </c>
      <c r="E1367" s="5">
        <f>IF('зведена (БАЛАНС) (2)'!E1367&gt;'зведена (БАЛАНС) (2)'!F1367,'зведена (БАЛАНС) (2)'!E1367-'зведена (БАЛАНС) (2)'!F1367,0)</f>
        <v>0</v>
      </c>
      <c r="F1367" s="5">
        <f>IF('зведена (БАЛАНС) (2)'!F1367&gt;'зведена (БАЛАНС) (2)'!E1367,'зведена (БАЛАНС) (2)'!F1367-'зведена (БАЛАНС) (2)'!E1367,0)</f>
        <v>1742.3</v>
      </c>
    </row>
    <row r="1368" spans="1:7" x14ac:dyDescent="0.25">
      <c r="A1368" s="38">
        <v>21</v>
      </c>
      <c r="B1368" s="34" t="s">
        <v>986</v>
      </c>
      <c r="C1368" s="18">
        <v>21528000000</v>
      </c>
      <c r="D1368" s="32" t="s">
        <v>3122</v>
      </c>
      <c r="E1368" s="5">
        <f>IF('зведена (БАЛАНС) (2)'!E1368&gt;'зведена (БАЛАНС) (2)'!F1368,'зведена (БАЛАНС) (2)'!E1368-'зведена (БАЛАНС) (2)'!F1368,0)</f>
        <v>0</v>
      </c>
      <c r="F1368" s="5">
        <f>IF('зведена (БАЛАНС) (2)'!F1368&gt;'зведена (БАЛАНС) (2)'!E1368,'зведена (БАЛАНС) (2)'!F1368-'зведена (БАЛАНС) (2)'!E1368,0)</f>
        <v>0</v>
      </c>
    </row>
    <row r="1369" spans="1:7" x14ac:dyDescent="0.25">
      <c r="A1369" s="38">
        <v>21</v>
      </c>
      <c r="B1369" s="34" t="s">
        <v>986</v>
      </c>
      <c r="C1369" s="18">
        <v>21529000000</v>
      </c>
      <c r="D1369" s="32" t="s">
        <v>3123</v>
      </c>
      <c r="E1369" s="5">
        <f>IF('зведена (БАЛАНС) (2)'!E1369&gt;'зведена (БАЛАНС) (2)'!F1369,'зведена (БАЛАНС) (2)'!E1369-'зведена (БАЛАНС) (2)'!F1369,0)</f>
        <v>0</v>
      </c>
      <c r="F1369" s="5">
        <f>IF('зведена (БАЛАНС) (2)'!F1369&gt;'зведена (БАЛАНС) (2)'!E1369,'зведена (БАЛАНС) (2)'!F1369-'зведена (БАЛАНС) (2)'!E1369,0)</f>
        <v>27040.5</v>
      </c>
    </row>
    <row r="1370" spans="1:7" x14ac:dyDescent="0.25">
      <c r="A1370" s="38">
        <v>21</v>
      </c>
      <c r="B1370" s="34" t="s">
        <v>984</v>
      </c>
      <c r="C1370" s="18">
        <v>21530000000</v>
      </c>
      <c r="D1370" s="32" t="s">
        <v>3124</v>
      </c>
      <c r="E1370" s="5">
        <f>IF('зведена (БАЛАНС) (2)'!E1370&gt;'зведена (БАЛАНС) (2)'!F1370,'зведена (БАЛАНС) (2)'!E1370-'зведена (БАЛАНС) (2)'!F1370,0)</f>
        <v>0</v>
      </c>
      <c r="F1370" s="5">
        <f>IF('зведена (БАЛАНС) (2)'!F1370&gt;'зведена (БАЛАНС) (2)'!E1370,'зведена (БАЛАНС) (2)'!F1370-'зведена (БАЛАНС) (2)'!E1370,0)</f>
        <v>9414.2999999999993</v>
      </c>
    </row>
    <row r="1371" spans="1:7" x14ac:dyDescent="0.25">
      <c r="A1371" s="38">
        <v>21</v>
      </c>
      <c r="B1371" s="34" t="s">
        <v>983</v>
      </c>
      <c r="C1371" s="18">
        <v>21534000000</v>
      </c>
      <c r="D1371" s="80" t="s">
        <v>2492</v>
      </c>
      <c r="E1371" s="5">
        <f>IF('зведена (БАЛАНС) (2)'!E1371&gt;'зведена (БАЛАНС) (2)'!F1371,'зведена (БАЛАНС) (2)'!E1371-'зведена (БАЛАНС) (2)'!F1371,0)</f>
        <v>0</v>
      </c>
      <c r="F1371" s="5">
        <f>IF('зведена (БАЛАНС) (2)'!F1371&gt;'зведена (БАЛАНС) (2)'!E1371,'зведена (БАЛАНС) (2)'!F1371-'зведена (БАЛАНС) (2)'!E1371,0)</f>
        <v>8642.5</v>
      </c>
    </row>
    <row r="1372" spans="1:7" x14ac:dyDescent="0.25">
      <c r="A1372" s="38">
        <v>21</v>
      </c>
      <c r="B1372" s="34" t="s">
        <v>985</v>
      </c>
      <c r="C1372" s="18">
        <v>21535000000</v>
      </c>
      <c r="D1372" s="80" t="s">
        <v>2493</v>
      </c>
      <c r="E1372" s="5">
        <f>IF('зведена (БАЛАНС) (2)'!E1372&gt;'зведена (БАЛАНС) (2)'!F1372,'зведена (БАЛАНС) (2)'!E1372-'зведена (БАЛАНС) (2)'!F1372,0)</f>
        <v>0</v>
      </c>
      <c r="F1372" s="5">
        <f>IF('зведена (БАЛАНС) (2)'!F1372&gt;'зведена (БАЛАНС) (2)'!E1372,'зведена (БАЛАНС) (2)'!F1372-'зведена (БАЛАНС) (2)'!E1372,0)</f>
        <v>5715.9</v>
      </c>
    </row>
    <row r="1373" spans="1:7" ht="31.5" x14ac:dyDescent="0.25">
      <c r="A1373" s="38">
        <v>21</v>
      </c>
      <c r="B1373" s="34" t="s">
        <v>985</v>
      </c>
      <c r="C1373" s="18">
        <v>21536000000</v>
      </c>
      <c r="D1373" s="80" t="s">
        <v>2494</v>
      </c>
      <c r="E1373" s="5">
        <f>IF('зведена (БАЛАНС) (2)'!E1373&gt;'зведена (БАЛАНС) (2)'!F1373,'зведена (БАЛАНС) (2)'!E1373-'зведена (БАЛАНС) (2)'!F1373,0)</f>
        <v>0</v>
      </c>
      <c r="F1373" s="5">
        <f>IF('зведена (БАЛАНС) (2)'!F1373&gt;'зведена (БАЛАНС) (2)'!E1373,'зведена (БАЛАНС) (2)'!F1373-'зведена (БАЛАНС) (2)'!E1373,0)</f>
        <v>12354.1</v>
      </c>
    </row>
    <row r="1374" spans="1:7" x14ac:dyDescent="0.25">
      <c r="A1374" s="38">
        <v>21</v>
      </c>
      <c r="B1374" s="34" t="s">
        <v>985</v>
      </c>
      <c r="C1374" s="18">
        <v>21537000000</v>
      </c>
      <c r="D1374" s="80" t="s">
        <v>2495</v>
      </c>
      <c r="E1374" s="5">
        <f>IF('зведена (БАЛАНС) (2)'!E1374&gt;'зведена (БАЛАНС) (2)'!F1374,'зведена (БАЛАНС) (2)'!E1374-'зведена (БАЛАНС) (2)'!F1374,0)</f>
        <v>0</v>
      </c>
      <c r="F1374" s="5">
        <f>IF('зведена (БАЛАНС) (2)'!F1374&gt;'зведена (БАЛАНС) (2)'!E1374,'зведена (БАЛАНС) (2)'!F1374-'зведена (БАЛАНС) (2)'!E1374,0)</f>
        <v>12184.4</v>
      </c>
    </row>
    <row r="1375" spans="1:7" x14ac:dyDescent="0.25">
      <c r="A1375" s="38">
        <v>21</v>
      </c>
      <c r="B1375" s="34" t="s">
        <v>983</v>
      </c>
      <c r="C1375" s="18">
        <v>21538000000</v>
      </c>
      <c r="D1375" s="80" t="s">
        <v>2496</v>
      </c>
      <c r="E1375" s="5">
        <f>IF('зведена (БАЛАНС) (2)'!E1375&gt;'зведена (БАЛАНС) (2)'!F1375,'зведена (БАЛАНС) (2)'!E1375-'зведена (БАЛАНС) (2)'!F1375,0)</f>
        <v>0</v>
      </c>
      <c r="F1375" s="5">
        <f>IF('зведена (БАЛАНС) (2)'!F1375&gt;'зведена (БАЛАНС) (2)'!E1375,'зведена (БАЛАНС) (2)'!F1375-'зведена (БАЛАНС) (2)'!E1375,0)</f>
        <v>60754.1</v>
      </c>
    </row>
    <row r="1376" spans="1:7" x14ac:dyDescent="0.25">
      <c r="A1376" s="38">
        <v>21</v>
      </c>
      <c r="B1376" s="34" t="s">
        <v>984</v>
      </c>
      <c r="C1376" s="18">
        <v>21539000000</v>
      </c>
      <c r="D1376" s="80" t="s">
        <v>2497</v>
      </c>
      <c r="E1376" s="5">
        <f>IF('зведена (БАЛАНС) (2)'!E1376&gt;'зведена (БАЛАНС) (2)'!F1376,'зведена (БАЛАНС) (2)'!E1376-'зведена (БАЛАНС) (2)'!F1376,0)</f>
        <v>0</v>
      </c>
      <c r="F1376" s="5">
        <f>IF('зведена (БАЛАНС) (2)'!F1376&gt;'зведена (БАЛАНС) (2)'!E1376,'зведена (БАЛАНС) (2)'!F1376-'зведена (БАЛАНС) (2)'!E1376,0)</f>
        <v>17546.2</v>
      </c>
    </row>
    <row r="1377" spans="1:6" x14ac:dyDescent="0.25">
      <c r="A1377" s="38">
        <v>21</v>
      </c>
      <c r="B1377" s="34" t="s">
        <v>985</v>
      </c>
      <c r="C1377" s="18">
        <v>21540000000</v>
      </c>
      <c r="D1377" s="80" t="s">
        <v>2498</v>
      </c>
      <c r="E1377" s="5">
        <f>IF('зведена (БАЛАНС) (2)'!E1377&gt;'зведена (БАЛАНС) (2)'!F1377,'зведена (БАЛАНС) (2)'!E1377-'зведена (БАЛАНС) (2)'!F1377,0)</f>
        <v>0</v>
      </c>
      <c r="F1377" s="5">
        <f>IF('зведена (БАЛАНС) (2)'!F1377&gt;'зведена (БАЛАНС) (2)'!E1377,'зведена (БАЛАНС) (2)'!F1377-'зведена (БАЛАНС) (2)'!E1377,0)</f>
        <v>4325.1000000000004</v>
      </c>
    </row>
    <row r="1378" spans="1:6" x14ac:dyDescent="0.25">
      <c r="A1378" s="38">
        <v>21</v>
      </c>
      <c r="B1378" s="34" t="s">
        <v>986</v>
      </c>
      <c r="C1378" s="18">
        <v>21541000000</v>
      </c>
      <c r="D1378" s="80" t="s">
        <v>2499</v>
      </c>
      <c r="E1378" s="5">
        <f>IF('зведена (БАЛАНС) (2)'!E1378&gt;'зведена (БАЛАНС) (2)'!F1378,'зведена (БАЛАНС) (2)'!E1378-'зведена (БАЛАНС) (2)'!F1378,0)</f>
        <v>0</v>
      </c>
      <c r="F1378" s="5">
        <f>IF('зведена (БАЛАНС) (2)'!F1378&gt;'зведена (БАЛАНС) (2)'!E1378,'зведена (БАЛАНС) (2)'!F1378-'зведена (БАЛАНС) (2)'!E1378,0)</f>
        <v>0</v>
      </c>
    </row>
    <row r="1379" spans="1:6" x14ac:dyDescent="0.25">
      <c r="A1379" s="38">
        <v>21</v>
      </c>
      <c r="B1379" s="34" t="s">
        <v>985</v>
      </c>
      <c r="C1379" s="18">
        <v>21542000000</v>
      </c>
      <c r="D1379" s="80" t="s">
        <v>2500</v>
      </c>
      <c r="E1379" s="5">
        <f>IF('зведена (БАЛАНС) (2)'!E1379&gt;'зведена (БАЛАНС) (2)'!F1379,'зведена (БАЛАНС) (2)'!E1379-'зведена (БАЛАНС) (2)'!F1379,0)</f>
        <v>0</v>
      </c>
      <c r="F1379" s="5">
        <f>IF('зведена (БАЛАНС) (2)'!F1379&gt;'зведена (БАЛАНС) (2)'!E1379,'зведена (БАЛАНС) (2)'!F1379-'зведена (БАЛАНС) (2)'!E1379,0)</f>
        <v>11015</v>
      </c>
    </row>
    <row r="1380" spans="1:6" x14ac:dyDescent="0.25">
      <c r="A1380" s="38">
        <v>21</v>
      </c>
      <c r="B1380" s="34" t="s">
        <v>985</v>
      </c>
      <c r="C1380" s="18">
        <v>21543000000</v>
      </c>
      <c r="D1380" s="80" t="s">
        <v>2842</v>
      </c>
      <c r="E1380" s="5">
        <f>IF('зведена (БАЛАНС) (2)'!E1380&gt;'зведена (БАЛАНС) (2)'!F1380,'зведена (БАЛАНС) (2)'!E1380-'зведена (БАЛАНС) (2)'!F1380,0)</f>
        <v>0</v>
      </c>
      <c r="F1380" s="5">
        <f>IF('зведена (БАЛАНС) (2)'!F1380&gt;'зведена (БАЛАНС) (2)'!E1380,'зведена (БАЛАНС) (2)'!F1380-'зведена (БАЛАНС) (2)'!E1380,0)</f>
        <v>8993.9</v>
      </c>
    </row>
    <row r="1381" spans="1:6" x14ac:dyDescent="0.25">
      <c r="A1381" s="38">
        <v>21</v>
      </c>
      <c r="B1381" s="34" t="s">
        <v>985</v>
      </c>
      <c r="C1381" s="18">
        <v>21544000000</v>
      </c>
      <c r="D1381" s="80" t="s">
        <v>2501</v>
      </c>
      <c r="E1381" s="5">
        <f>IF('зведена (БАЛАНС) (2)'!E1381&gt;'зведена (БАЛАНС) (2)'!F1381,'зведена (БАЛАНС) (2)'!E1381-'зведена (БАЛАНС) (2)'!F1381,0)</f>
        <v>0</v>
      </c>
      <c r="F1381" s="5">
        <f>IF('зведена (БАЛАНС) (2)'!F1381&gt;'зведена (БАЛАНС) (2)'!E1381,'зведена (БАЛАНС) (2)'!F1381-'зведена (БАЛАНС) (2)'!E1381,0)</f>
        <v>14175.6</v>
      </c>
    </row>
    <row r="1382" spans="1:6" x14ac:dyDescent="0.25">
      <c r="A1382" s="38">
        <v>21</v>
      </c>
      <c r="B1382" s="34" t="s">
        <v>984</v>
      </c>
      <c r="C1382" s="18">
        <v>21545000000</v>
      </c>
      <c r="D1382" s="80" t="s">
        <v>2502</v>
      </c>
      <c r="E1382" s="5">
        <f>IF('зведена (БАЛАНС) (2)'!E1382&gt;'зведена (БАЛАНС) (2)'!F1382,'зведена (БАЛАНС) (2)'!E1382-'зведена (БАЛАНС) (2)'!F1382,0)</f>
        <v>0</v>
      </c>
      <c r="F1382" s="5">
        <f>IF('зведена (БАЛАНС) (2)'!F1382&gt;'зведена (БАЛАНС) (2)'!E1382,'зведена (БАЛАНС) (2)'!F1382-'зведена (БАЛАНС) (2)'!E1382,0)</f>
        <v>12037.2</v>
      </c>
    </row>
    <row r="1383" spans="1:6" x14ac:dyDescent="0.25">
      <c r="A1383" s="38">
        <v>21</v>
      </c>
      <c r="B1383" s="34" t="s">
        <v>984</v>
      </c>
      <c r="C1383" s="18">
        <v>21546000000</v>
      </c>
      <c r="D1383" s="80" t="s">
        <v>2503</v>
      </c>
      <c r="E1383" s="5">
        <f>IF('зведена (БАЛАНС) (2)'!E1383&gt;'зведена (БАЛАНС) (2)'!F1383,'зведена (БАЛАНС) (2)'!E1383-'зведена (БАЛАНС) (2)'!F1383,0)</f>
        <v>0</v>
      </c>
      <c r="F1383" s="5">
        <f>IF('зведена (БАЛАНС) (2)'!F1383&gt;'зведена (БАЛАНС) (2)'!E1383,'зведена (БАЛАНС) (2)'!F1383-'зведена (БАЛАНС) (2)'!E1383,0)</f>
        <v>7342.1</v>
      </c>
    </row>
    <row r="1384" spans="1:6" x14ac:dyDescent="0.25">
      <c r="A1384" s="38">
        <v>21</v>
      </c>
      <c r="B1384" s="34" t="s">
        <v>985</v>
      </c>
      <c r="C1384" s="18">
        <v>21547000000</v>
      </c>
      <c r="D1384" s="80" t="s">
        <v>2504</v>
      </c>
      <c r="E1384" s="5">
        <f>IF('зведена (БАЛАНС) (2)'!E1384&gt;'зведена (БАЛАНС) (2)'!F1384,'зведена (БАЛАНС) (2)'!E1384-'зведена (БАЛАНС) (2)'!F1384,0)</f>
        <v>0</v>
      </c>
      <c r="F1384" s="5">
        <f>IF('зведена (БАЛАНС) (2)'!F1384&gt;'зведена (БАЛАНС) (2)'!E1384,'зведена (БАЛАНС) (2)'!F1384-'зведена (БАЛАНС) (2)'!E1384,0)</f>
        <v>19865.099999999999</v>
      </c>
    </row>
    <row r="1385" spans="1:6" x14ac:dyDescent="0.25">
      <c r="A1385" s="38">
        <v>21</v>
      </c>
      <c r="B1385" s="34" t="s">
        <v>983</v>
      </c>
      <c r="C1385" s="18">
        <v>21548000000</v>
      </c>
      <c r="D1385" s="80" t="s">
        <v>2505</v>
      </c>
      <c r="E1385" s="5">
        <f>IF('зведена (БАЛАНС) (2)'!E1385&gt;'зведена (БАЛАНС) (2)'!F1385,'зведена (БАЛАНС) (2)'!E1385-'зведена (БАЛАНС) (2)'!F1385,0)</f>
        <v>0</v>
      </c>
      <c r="F1385" s="5">
        <f>IF('зведена (БАЛАНС) (2)'!F1385&gt;'зведена (БАЛАНС) (2)'!E1385,'зведена (БАЛАНС) (2)'!F1385-'зведена (БАЛАНС) (2)'!E1385,0)</f>
        <v>27895.4</v>
      </c>
    </row>
    <row r="1386" spans="1:6" x14ac:dyDescent="0.25">
      <c r="A1386" s="38">
        <v>21</v>
      </c>
      <c r="B1386" s="34" t="s">
        <v>984</v>
      </c>
      <c r="C1386" s="18">
        <v>21549000000</v>
      </c>
      <c r="D1386" s="80" t="s">
        <v>2506</v>
      </c>
      <c r="E1386" s="5">
        <f>IF('зведена (БАЛАНС) (2)'!E1386&gt;'зведена (БАЛАНС) (2)'!F1386,'зведена (БАЛАНС) (2)'!E1386-'зведена (БАЛАНС) (2)'!F1386,0)</f>
        <v>0</v>
      </c>
      <c r="F1386" s="5">
        <f>IF('зведена (БАЛАНС) (2)'!F1386&gt;'зведена (БАЛАНС) (2)'!E1386,'зведена (БАЛАНС) (2)'!F1386-'зведена (БАЛАНС) (2)'!E1386,0)</f>
        <v>361.3</v>
      </c>
    </row>
    <row r="1387" spans="1:6" x14ac:dyDescent="0.25">
      <c r="A1387" s="38">
        <v>21</v>
      </c>
      <c r="B1387" s="34" t="s">
        <v>983</v>
      </c>
      <c r="C1387" s="18">
        <v>21550000000</v>
      </c>
      <c r="D1387" s="80" t="s">
        <v>2507</v>
      </c>
      <c r="E1387" s="5">
        <f>IF('зведена (БАЛАНС) (2)'!E1387&gt;'зведена (БАЛАНС) (2)'!F1387,'зведена (БАЛАНС) (2)'!E1387-'зведена (БАЛАНС) (2)'!F1387,0)</f>
        <v>0</v>
      </c>
      <c r="F1387" s="5">
        <f>IF('зведена (БАЛАНС) (2)'!F1387&gt;'зведена (БАЛАНС) (2)'!E1387,'зведена (БАЛАНС) (2)'!F1387-'зведена (БАЛАНС) (2)'!E1387,0)</f>
        <v>34986.199999999997</v>
      </c>
    </row>
    <row r="1388" spans="1:6" x14ac:dyDescent="0.25">
      <c r="A1388" s="38">
        <v>21</v>
      </c>
      <c r="B1388" s="34" t="s">
        <v>983</v>
      </c>
      <c r="C1388" s="18">
        <v>21551000000</v>
      </c>
      <c r="D1388" s="80" t="s">
        <v>2508</v>
      </c>
      <c r="E1388" s="5">
        <f>IF('зведена (БАЛАНС) (2)'!E1388&gt;'зведена (БАЛАНС) (2)'!F1388,'зведена (БАЛАНС) (2)'!E1388-'зведена (БАЛАНС) (2)'!F1388,0)</f>
        <v>0</v>
      </c>
      <c r="F1388" s="5">
        <f>IF('зведена (БАЛАНС) (2)'!F1388&gt;'зведена (БАЛАНС) (2)'!E1388,'зведена (БАЛАНС) (2)'!F1388-'зведена (БАЛАНС) (2)'!E1388,0)</f>
        <v>16502.2</v>
      </c>
    </row>
    <row r="1389" spans="1:6" x14ac:dyDescent="0.25">
      <c r="A1389" s="38">
        <v>21</v>
      </c>
      <c r="B1389" s="34" t="s">
        <v>984</v>
      </c>
      <c r="C1389" s="18">
        <v>21552000000</v>
      </c>
      <c r="D1389" s="80" t="s">
        <v>2509</v>
      </c>
      <c r="E1389" s="5">
        <f>IF('зведена (БАЛАНС) (2)'!E1389&gt;'зведена (БАЛАНС) (2)'!F1389,'зведена (БАЛАНС) (2)'!E1389-'зведена (БАЛАНС) (2)'!F1389,0)</f>
        <v>0</v>
      </c>
      <c r="F1389" s="5">
        <f>IF('зведена (БАЛАНС) (2)'!F1389&gt;'зведена (БАЛАНС) (2)'!E1389,'зведена (БАЛАНС) (2)'!F1389-'зведена (БАЛАНС) (2)'!E1389,0)</f>
        <v>15465.4</v>
      </c>
    </row>
    <row r="1390" spans="1:6" x14ac:dyDescent="0.25">
      <c r="A1390" s="38">
        <v>21</v>
      </c>
      <c r="B1390" s="34" t="s">
        <v>986</v>
      </c>
      <c r="C1390" s="18">
        <v>21553000000</v>
      </c>
      <c r="D1390" s="80" t="s">
        <v>2510</v>
      </c>
      <c r="E1390" s="5">
        <f>IF('зведена (БАЛАНС) (2)'!E1390&gt;'зведена (БАЛАНС) (2)'!F1390,'зведена (БАЛАНС) (2)'!E1390-'зведена (БАЛАНС) (2)'!F1390,0)</f>
        <v>0</v>
      </c>
      <c r="F1390" s="5">
        <f>IF('зведена (БАЛАНС) (2)'!F1390&gt;'зведена (БАЛАНС) (2)'!E1390,'зведена (БАЛАНС) (2)'!F1390-'зведена (БАЛАНС) (2)'!E1390,0)</f>
        <v>0</v>
      </c>
    </row>
    <row r="1391" spans="1:6" x14ac:dyDescent="0.25">
      <c r="A1391" s="38">
        <v>21</v>
      </c>
      <c r="B1391" s="34" t="s">
        <v>984</v>
      </c>
      <c r="C1391" s="18">
        <v>21554000000</v>
      </c>
      <c r="D1391" s="80" t="s">
        <v>2511</v>
      </c>
      <c r="E1391" s="5">
        <f>IF('зведена (БАЛАНС) (2)'!E1391&gt;'зведена (БАЛАНС) (2)'!F1391,'зведена (БАЛАНС) (2)'!E1391-'зведена (БАЛАНС) (2)'!F1391,0)</f>
        <v>0</v>
      </c>
      <c r="F1391" s="5">
        <f>IF('зведена (БАЛАНС) (2)'!F1391&gt;'зведена (БАЛАНС) (2)'!E1391,'зведена (БАЛАНС) (2)'!F1391-'зведена (БАЛАНС) (2)'!E1391,0)</f>
        <v>5237.2</v>
      </c>
    </row>
    <row r="1392" spans="1:6" x14ac:dyDescent="0.25">
      <c r="A1392" s="36">
        <v>22</v>
      </c>
      <c r="B1392" s="17" t="s">
        <v>7</v>
      </c>
      <c r="C1392" s="17" t="s">
        <v>817</v>
      </c>
      <c r="D1392" s="11" t="s">
        <v>23</v>
      </c>
      <c r="E1392" s="11">
        <f>E1393+E1394+E1398</f>
        <v>178726.09999999998</v>
      </c>
      <c r="F1392" s="11">
        <f>F1393+F1394+F1398</f>
        <v>484121.9</v>
      </c>
    </row>
    <row r="1393" spans="1:6" x14ac:dyDescent="0.25">
      <c r="A1393" s="38">
        <v>22</v>
      </c>
      <c r="B1393" s="34" t="s">
        <v>6</v>
      </c>
      <c r="C1393" s="18" t="s">
        <v>188</v>
      </c>
      <c r="D1393" s="32" t="s">
        <v>861</v>
      </c>
      <c r="E1393" s="5">
        <f>IF('зведена (БАЛАНС) (2)'!E1393&gt;'зведена (БАЛАНС) (2)'!F1393,'зведена (БАЛАНС) (2)'!E1393-'зведена (БАЛАНС) (2)'!F1393,0)</f>
        <v>0</v>
      </c>
      <c r="F1393" s="5">
        <f>IF('зведена (БАЛАНС) (2)'!F1393&gt;'зведена (БАЛАНС) (2)'!E1393,'зведена (БАЛАНС) (2)'!F1393-'зведена (БАЛАНС) (2)'!E1393,0)</f>
        <v>49457.1</v>
      </c>
    </row>
    <row r="1394" spans="1:6" x14ac:dyDescent="0.25">
      <c r="A1394" s="37">
        <v>22</v>
      </c>
      <c r="B1394" s="19" t="s">
        <v>5</v>
      </c>
      <c r="C1394" s="19" t="s">
        <v>818</v>
      </c>
      <c r="D1394" s="7" t="s">
        <v>2815</v>
      </c>
      <c r="E1394" s="7">
        <f>SUM(E1395:E1397)</f>
        <v>0</v>
      </c>
      <c r="F1394" s="7">
        <f>SUM(F1395:F1397)</f>
        <v>0</v>
      </c>
    </row>
    <row r="1395" spans="1:6" x14ac:dyDescent="0.25">
      <c r="A1395" s="38">
        <v>22</v>
      </c>
      <c r="B1395" s="34" t="s">
        <v>4</v>
      </c>
      <c r="C1395" s="18" t="s">
        <v>189</v>
      </c>
      <c r="D1395" s="32" t="s">
        <v>960</v>
      </c>
      <c r="E1395" s="5">
        <f>IF('зведена (БАЛАНС) (2)'!E1395&gt;'зведена (БАЛАНС) (2)'!F1395,'зведена (БАЛАНС) (2)'!E1395-'зведена (БАЛАНС) (2)'!F1395,0)</f>
        <v>0</v>
      </c>
      <c r="F1395" s="5">
        <f>IF('зведена (БАЛАНС) (2)'!F1395&gt;'зведена (БАЛАНС) (2)'!E1395,'зведена (БАЛАНС) (2)'!F1395-'зведена (БАЛАНС) (2)'!E1395,0)</f>
        <v>0</v>
      </c>
    </row>
    <row r="1396" spans="1:6" x14ac:dyDescent="0.25">
      <c r="A1396" s="38">
        <v>22</v>
      </c>
      <c r="B1396" s="34" t="s">
        <v>4</v>
      </c>
      <c r="C1396" s="18" t="s">
        <v>190</v>
      </c>
      <c r="D1396" s="32" t="s">
        <v>961</v>
      </c>
      <c r="E1396" s="5">
        <f>IF('зведена (БАЛАНС) (2)'!E1396&gt;'зведена (БАЛАНС) (2)'!F1396,'зведена (БАЛАНС) (2)'!E1396-'зведена (БАЛАНС) (2)'!F1396,0)</f>
        <v>0</v>
      </c>
      <c r="F1396" s="5">
        <f>IF('зведена (БАЛАНС) (2)'!F1396&gt;'зведена (БАЛАНС) (2)'!E1396,'зведена (БАЛАНС) (2)'!F1396-'зведена (БАЛАНС) (2)'!E1396,0)</f>
        <v>0</v>
      </c>
    </row>
    <row r="1397" spans="1:6" x14ac:dyDescent="0.25">
      <c r="A1397" s="38">
        <v>22</v>
      </c>
      <c r="B1397" s="34" t="s">
        <v>4</v>
      </c>
      <c r="C1397" s="18" t="s">
        <v>191</v>
      </c>
      <c r="D1397" s="32" t="s">
        <v>962</v>
      </c>
      <c r="E1397" s="5">
        <f>IF('зведена (БАЛАНС) (2)'!E1397&gt;'зведена (БАЛАНС) (2)'!F1397,'зведена (БАЛАНС) (2)'!E1397-'зведена (БАЛАНС) (2)'!F1397,0)</f>
        <v>0</v>
      </c>
      <c r="F1397" s="5">
        <f>IF('зведена (БАЛАНС) (2)'!F1397&gt;'зведена (БАЛАНС) (2)'!E1397,'зведена (БАЛАНС) (2)'!F1397-'зведена (БАЛАНС) (2)'!E1397,0)</f>
        <v>0</v>
      </c>
    </row>
    <row r="1398" spans="1:6" x14ac:dyDescent="0.25">
      <c r="A1398" s="37">
        <v>22</v>
      </c>
      <c r="B1398" s="19" t="s">
        <v>28</v>
      </c>
      <c r="C1398" s="19" t="s">
        <v>819</v>
      </c>
      <c r="D1398" s="20" t="s">
        <v>2788</v>
      </c>
      <c r="E1398" s="7">
        <f>SUM(E1399:E1458)</f>
        <v>178726.09999999998</v>
      </c>
      <c r="F1398" s="7">
        <f>SUM(F1399:F1458)</f>
        <v>434664.80000000005</v>
      </c>
    </row>
    <row r="1399" spans="1:6" x14ac:dyDescent="0.25">
      <c r="A1399" s="38">
        <v>22</v>
      </c>
      <c r="B1399" s="34" t="s">
        <v>984</v>
      </c>
      <c r="C1399" s="18" t="s">
        <v>192</v>
      </c>
      <c r="D1399" s="32" t="s">
        <v>2512</v>
      </c>
      <c r="E1399" s="5">
        <f>IF('зведена (БАЛАНС) (2)'!E1399&gt;'зведена (БАЛАНС) (2)'!F1399,'зведена (БАЛАНС) (2)'!E1399-'зведена (БАЛАНС) (2)'!F1399,0)</f>
        <v>0</v>
      </c>
      <c r="F1399" s="5">
        <f>IF('зведена (БАЛАНС) (2)'!F1399&gt;'зведена (БАЛАНС) (2)'!E1399,'зведена (БАЛАНС) (2)'!F1399-'зведена (БАЛАНС) (2)'!E1399,0)</f>
        <v>9887.2999999999993</v>
      </c>
    </row>
    <row r="1400" spans="1:6" x14ac:dyDescent="0.25">
      <c r="A1400" s="38">
        <v>22</v>
      </c>
      <c r="B1400" s="34" t="s">
        <v>985</v>
      </c>
      <c r="C1400" s="18" t="s">
        <v>193</v>
      </c>
      <c r="D1400" s="32" t="s">
        <v>2513</v>
      </c>
      <c r="E1400" s="5">
        <f>IF('зведена (БАЛАНС) (2)'!E1400&gt;'зведена (БАЛАНС) (2)'!F1400,'зведена (БАЛАНС) (2)'!E1400-'зведена (БАЛАНС) (2)'!F1400,0)</f>
        <v>0</v>
      </c>
      <c r="F1400" s="5">
        <f>IF('зведена (БАЛАНС) (2)'!F1400&gt;'зведена (БАЛАНС) (2)'!E1400,'зведена (БАЛАНС) (2)'!F1400-'зведена (БАЛАНС) (2)'!E1400,0)</f>
        <v>5998.1</v>
      </c>
    </row>
    <row r="1401" spans="1:6" x14ac:dyDescent="0.25">
      <c r="A1401" s="38">
        <v>22</v>
      </c>
      <c r="B1401" s="34" t="s">
        <v>983</v>
      </c>
      <c r="C1401" s="18" t="s">
        <v>194</v>
      </c>
      <c r="D1401" s="32" t="s">
        <v>2514</v>
      </c>
      <c r="E1401" s="5">
        <f>IF('зведена (БАЛАНС) (2)'!E1401&gt;'зведена (БАЛАНС) (2)'!F1401,'зведена (БАЛАНС) (2)'!E1401-'зведена (БАЛАНС) (2)'!F1401,0)</f>
        <v>0</v>
      </c>
      <c r="F1401" s="5">
        <f>IF('зведена (БАЛАНС) (2)'!F1401&gt;'зведена (БАЛАНС) (2)'!E1401,'зведена (БАЛАНС) (2)'!F1401-'зведена (БАЛАНС) (2)'!E1401,0)</f>
        <v>0</v>
      </c>
    </row>
    <row r="1402" spans="1:6" x14ac:dyDescent="0.25">
      <c r="A1402" s="38">
        <v>22</v>
      </c>
      <c r="B1402" s="34" t="s">
        <v>984</v>
      </c>
      <c r="C1402" s="18" t="s">
        <v>195</v>
      </c>
      <c r="D1402" s="32" t="s">
        <v>2515</v>
      </c>
      <c r="E1402" s="5">
        <f>IF('зведена (БАЛАНС) (2)'!E1402&gt;'зведена (БАЛАНС) (2)'!F1402,'зведена (БАЛАНС) (2)'!E1402-'зведена (БАЛАНС) (2)'!F1402,0)</f>
        <v>0</v>
      </c>
      <c r="F1402" s="5">
        <f>IF('зведена (БАЛАНС) (2)'!F1402&gt;'зведена (БАЛАНС) (2)'!E1402,'зведена (БАЛАНС) (2)'!F1402-'зведена (БАЛАНС) (2)'!E1402,0)</f>
        <v>8855</v>
      </c>
    </row>
    <row r="1403" spans="1:6" x14ac:dyDescent="0.25">
      <c r="A1403" s="38">
        <v>22</v>
      </c>
      <c r="B1403" s="34" t="s">
        <v>984</v>
      </c>
      <c r="C1403" s="18" t="s">
        <v>196</v>
      </c>
      <c r="D1403" s="32" t="s">
        <v>2516</v>
      </c>
      <c r="E1403" s="5">
        <f>IF('зведена (БАЛАНС) (2)'!E1403&gt;'зведена (БАЛАНС) (2)'!F1403,'зведена (БАЛАНС) (2)'!E1403-'зведена (БАЛАНС) (2)'!F1403,0)</f>
        <v>0</v>
      </c>
      <c r="F1403" s="5">
        <f>IF('зведена (БАЛАНС) (2)'!F1403&gt;'зведена (БАЛАНС) (2)'!E1403,'зведена (БАЛАНС) (2)'!F1403-'зведена (БАЛАНС) (2)'!E1403,0)</f>
        <v>5533.7</v>
      </c>
    </row>
    <row r="1404" spans="1:6" x14ac:dyDescent="0.25">
      <c r="A1404" s="38">
        <v>22</v>
      </c>
      <c r="B1404" s="34" t="s">
        <v>984</v>
      </c>
      <c r="C1404" s="18" t="s">
        <v>197</v>
      </c>
      <c r="D1404" s="32" t="s">
        <v>2517</v>
      </c>
      <c r="E1404" s="5">
        <f>IF('зведена (БАЛАНС) (2)'!E1404&gt;'зведена (БАЛАНС) (2)'!F1404,'зведена (БАЛАНС) (2)'!E1404-'зведена (БАЛАНС) (2)'!F1404,0)</f>
        <v>4609.1000000000004</v>
      </c>
      <c r="F1404" s="5">
        <f>IF('зведена (БАЛАНС) (2)'!F1404&gt;'зведена (БАЛАНС) (2)'!E1404,'зведена (БАЛАНС) (2)'!F1404-'зведена (БАЛАНС) (2)'!E1404,0)</f>
        <v>0</v>
      </c>
    </row>
    <row r="1405" spans="1:6" x14ac:dyDescent="0.25">
      <c r="A1405" s="38">
        <v>22</v>
      </c>
      <c r="B1405" s="34" t="s">
        <v>983</v>
      </c>
      <c r="C1405" s="18" t="s">
        <v>198</v>
      </c>
      <c r="D1405" s="32" t="s">
        <v>2820</v>
      </c>
      <c r="E1405" s="5">
        <f>IF('зведена (БАЛАНС) (2)'!E1405&gt;'зведена (БАЛАНС) (2)'!F1405,'зведена (БАЛАНС) (2)'!E1405-'зведена (БАЛАНС) (2)'!F1405,0)</f>
        <v>0</v>
      </c>
      <c r="F1405" s="5">
        <f>IF('зведена (БАЛАНС) (2)'!F1405&gt;'зведена (БАЛАНС) (2)'!E1405,'зведена (БАЛАНС) (2)'!F1405-'зведена (БАЛАНС) (2)'!E1405,0)</f>
        <v>27774.7</v>
      </c>
    </row>
    <row r="1406" spans="1:6" x14ac:dyDescent="0.25">
      <c r="A1406" s="38">
        <v>22</v>
      </c>
      <c r="B1406" s="34" t="s">
        <v>985</v>
      </c>
      <c r="C1406" s="18" t="s">
        <v>199</v>
      </c>
      <c r="D1406" s="32" t="s">
        <v>2518</v>
      </c>
      <c r="E1406" s="5">
        <f>IF('зведена (БАЛАНС) (2)'!E1406&gt;'зведена (БАЛАНС) (2)'!F1406,'зведена (БАЛАНС) (2)'!E1406-'зведена (БАЛАНС) (2)'!F1406,0)</f>
        <v>0</v>
      </c>
      <c r="F1406" s="5">
        <f>IF('зведена (БАЛАНС) (2)'!F1406&gt;'зведена (БАЛАНС) (2)'!E1406,'зведена (БАЛАНС) (2)'!F1406-'зведена (БАЛАНС) (2)'!E1406,0)</f>
        <v>8507.6</v>
      </c>
    </row>
    <row r="1407" spans="1:6" x14ac:dyDescent="0.25">
      <c r="A1407" s="38">
        <v>22</v>
      </c>
      <c r="B1407" s="34" t="s">
        <v>984</v>
      </c>
      <c r="C1407" s="18" t="s">
        <v>200</v>
      </c>
      <c r="D1407" s="32" t="s">
        <v>2519</v>
      </c>
      <c r="E1407" s="5">
        <f>IF('зведена (БАЛАНС) (2)'!E1407&gt;'зведена (БАЛАНС) (2)'!F1407,'зведена (БАЛАНС) (2)'!E1407-'зведена (БАЛАНС) (2)'!F1407,0)</f>
        <v>0</v>
      </c>
      <c r="F1407" s="5">
        <f>IF('зведена (БАЛАНС) (2)'!F1407&gt;'зведена (БАЛАНС) (2)'!E1407,'зведена (БАЛАНС) (2)'!F1407-'зведена (БАЛАНС) (2)'!E1407,0)</f>
        <v>7324.6</v>
      </c>
    </row>
    <row r="1408" spans="1:6" x14ac:dyDescent="0.25">
      <c r="A1408" s="38">
        <v>22</v>
      </c>
      <c r="B1408" s="34" t="s">
        <v>985</v>
      </c>
      <c r="C1408" s="18" t="s">
        <v>201</v>
      </c>
      <c r="D1408" s="32" t="s">
        <v>2520</v>
      </c>
      <c r="E1408" s="5">
        <f>IF('зведена (БАЛАНС) (2)'!E1408&gt;'зведена (БАЛАНС) (2)'!F1408,'зведена (БАЛАНС) (2)'!E1408-'зведена (БАЛАНС) (2)'!F1408,0)</f>
        <v>0</v>
      </c>
      <c r="F1408" s="5">
        <f>IF('зведена (БАЛАНС) (2)'!F1408&gt;'зведена (БАЛАНС) (2)'!E1408,'зведена (БАЛАНС) (2)'!F1408-'зведена (БАЛАНС) (2)'!E1408,0)</f>
        <v>6030.4</v>
      </c>
    </row>
    <row r="1409" spans="1:6" x14ac:dyDescent="0.25">
      <c r="A1409" s="38">
        <v>22</v>
      </c>
      <c r="B1409" s="34" t="s">
        <v>984</v>
      </c>
      <c r="C1409" s="18" t="s">
        <v>202</v>
      </c>
      <c r="D1409" s="32" t="s">
        <v>2521</v>
      </c>
      <c r="E1409" s="5">
        <f>IF('зведена (БАЛАНС) (2)'!E1409&gt;'зведена (БАЛАНС) (2)'!F1409,'зведена (БАЛАНС) (2)'!E1409-'зведена (БАЛАНС) (2)'!F1409,0)</f>
        <v>0</v>
      </c>
      <c r="F1409" s="5">
        <f>IF('зведена (БАЛАНС) (2)'!F1409&gt;'зведена (БАЛАНС) (2)'!E1409,'зведена (БАЛАНС) (2)'!F1409-'зведена (БАЛАНС) (2)'!E1409,0)</f>
        <v>5422.6</v>
      </c>
    </row>
    <row r="1410" spans="1:6" x14ac:dyDescent="0.25">
      <c r="A1410" s="38">
        <v>22</v>
      </c>
      <c r="B1410" s="34" t="s">
        <v>984</v>
      </c>
      <c r="C1410" s="18" t="s">
        <v>203</v>
      </c>
      <c r="D1410" s="32" t="s">
        <v>2522</v>
      </c>
      <c r="E1410" s="5">
        <f>IF('зведена (БАЛАНС) (2)'!E1410&gt;'зведена (БАЛАНС) (2)'!F1410,'зведена (БАЛАНС) (2)'!E1410-'зведена (БАЛАНС) (2)'!F1410,0)</f>
        <v>0</v>
      </c>
      <c r="F1410" s="5">
        <f>IF('зведена (БАЛАНС) (2)'!F1410&gt;'зведена (БАЛАНС) (2)'!E1410,'зведена (БАЛАНС) (2)'!F1410-'зведена (БАЛАНС) (2)'!E1410,0)</f>
        <v>8656.2000000000007</v>
      </c>
    </row>
    <row r="1411" spans="1:6" x14ac:dyDescent="0.25">
      <c r="A1411" s="38">
        <v>22</v>
      </c>
      <c r="B1411" s="34" t="s">
        <v>985</v>
      </c>
      <c r="C1411" s="18" t="s">
        <v>204</v>
      </c>
      <c r="D1411" s="32" t="s">
        <v>2523</v>
      </c>
      <c r="E1411" s="5">
        <f>IF('зведена (БАЛАНС) (2)'!E1411&gt;'зведена (БАЛАНС) (2)'!F1411,'зведена (БАЛАНС) (2)'!E1411-'зведена (БАЛАНС) (2)'!F1411,0)</f>
        <v>0</v>
      </c>
      <c r="F1411" s="5">
        <f>IF('зведена (БАЛАНС) (2)'!F1411&gt;'зведена (БАЛАНС) (2)'!E1411,'зведена (БАЛАНС) (2)'!F1411-'зведена (БАЛАНС) (2)'!E1411,0)</f>
        <v>0</v>
      </c>
    </row>
    <row r="1412" spans="1:6" x14ac:dyDescent="0.25">
      <c r="A1412" s="38">
        <v>22</v>
      </c>
      <c r="B1412" s="34" t="s">
        <v>985</v>
      </c>
      <c r="C1412" s="18" t="s">
        <v>205</v>
      </c>
      <c r="D1412" s="32" t="s">
        <v>2524</v>
      </c>
      <c r="E1412" s="5">
        <f>IF('зведена (БАЛАНС) (2)'!E1412&gt;'зведена (БАЛАНС) (2)'!F1412,'зведена (БАЛАНС) (2)'!E1412-'зведена (БАЛАНС) (2)'!F1412,0)</f>
        <v>0</v>
      </c>
      <c r="F1412" s="5">
        <f>IF('зведена (БАЛАНС) (2)'!F1412&gt;'зведена (БАЛАНС) (2)'!E1412,'зведена (БАЛАНС) (2)'!F1412-'зведена (БАЛАНС) (2)'!E1412,0)</f>
        <v>2348.1</v>
      </c>
    </row>
    <row r="1413" spans="1:6" x14ac:dyDescent="0.25">
      <c r="A1413" s="38">
        <v>22</v>
      </c>
      <c r="B1413" s="34" t="s">
        <v>985</v>
      </c>
      <c r="C1413" s="18" t="s">
        <v>262</v>
      </c>
      <c r="D1413" s="32" t="s">
        <v>2525</v>
      </c>
      <c r="E1413" s="5">
        <f>IF('зведена (БАЛАНС) (2)'!E1413&gt;'зведена (БАЛАНС) (2)'!F1413,'зведена (БАЛАНС) (2)'!E1413-'зведена (БАЛАНС) (2)'!F1413,0)</f>
        <v>0</v>
      </c>
      <c r="F1413" s="5">
        <f>IF('зведена (БАЛАНС) (2)'!F1413&gt;'зведена (БАЛАНС) (2)'!E1413,'зведена (БАЛАНС) (2)'!F1413-'зведена (БАЛАНС) (2)'!E1413,0)</f>
        <v>19895.5</v>
      </c>
    </row>
    <row r="1414" spans="1:6" x14ac:dyDescent="0.25">
      <c r="A1414" s="38">
        <v>22</v>
      </c>
      <c r="B1414" s="34" t="s">
        <v>983</v>
      </c>
      <c r="C1414" s="18" t="s">
        <v>263</v>
      </c>
      <c r="D1414" s="32" t="s">
        <v>2526</v>
      </c>
      <c r="E1414" s="5">
        <f>IF('зведена (БАЛАНС) (2)'!E1414&gt;'зведена (БАЛАНС) (2)'!F1414,'зведена (БАЛАНС) (2)'!E1414-'зведена (БАЛАНС) (2)'!F1414,0)</f>
        <v>0</v>
      </c>
      <c r="F1414" s="5">
        <f>IF('зведена (БАЛАНС) (2)'!F1414&gt;'зведена (БАЛАНС) (2)'!E1414,'зведена (БАЛАНС) (2)'!F1414-'зведена (БАЛАНС) (2)'!E1414,0)</f>
        <v>23797.599999999999</v>
      </c>
    </row>
    <row r="1415" spans="1:6" x14ac:dyDescent="0.25">
      <c r="A1415" s="38">
        <v>22</v>
      </c>
      <c r="B1415" s="34" t="s">
        <v>985</v>
      </c>
      <c r="C1415" s="18" t="s">
        <v>264</v>
      </c>
      <c r="D1415" s="32" t="s">
        <v>2527</v>
      </c>
      <c r="E1415" s="5">
        <f>IF('зведена (БАЛАНС) (2)'!E1415&gt;'зведена (БАЛАНС) (2)'!F1415,'зведена (БАЛАНС) (2)'!E1415-'зведена (БАЛАНС) (2)'!F1415,0)</f>
        <v>0</v>
      </c>
      <c r="F1415" s="5">
        <f>IF('зведена (БАЛАНС) (2)'!F1415&gt;'зведена (БАЛАНС) (2)'!E1415,'зведена (БАЛАНС) (2)'!F1415-'зведена (БАЛАНС) (2)'!E1415,0)</f>
        <v>3012.4</v>
      </c>
    </row>
    <row r="1416" spans="1:6" x14ac:dyDescent="0.25">
      <c r="A1416" s="38">
        <v>22</v>
      </c>
      <c r="B1416" s="34" t="s">
        <v>984</v>
      </c>
      <c r="C1416" s="18" t="s">
        <v>265</v>
      </c>
      <c r="D1416" s="32" t="s">
        <v>3125</v>
      </c>
      <c r="E1416" s="5">
        <f>IF('зведена (БАЛАНС) (2)'!E1416&gt;'зведена (БАЛАНС) (2)'!F1416,'зведена (БАЛАНС) (2)'!E1416-'зведена (БАЛАНС) (2)'!F1416,0)</f>
        <v>3374.7</v>
      </c>
      <c r="F1416" s="5">
        <f>IF('зведена (БАЛАНС) (2)'!F1416&gt;'зведена (БАЛАНС) (2)'!E1416,'зведена (БАЛАНС) (2)'!F1416-'зведена (БАЛАНС) (2)'!E1416,0)</f>
        <v>0</v>
      </c>
    </row>
    <row r="1417" spans="1:6" x14ac:dyDescent="0.25">
      <c r="A1417" s="38">
        <v>22</v>
      </c>
      <c r="B1417" s="34" t="s">
        <v>985</v>
      </c>
      <c r="C1417" s="18" t="s">
        <v>266</v>
      </c>
      <c r="D1417" s="32" t="s">
        <v>2832</v>
      </c>
      <c r="E1417" s="5">
        <f>IF('зведена (БАЛАНС) (2)'!E1417&gt;'зведена (БАЛАНС) (2)'!F1417,'зведена (БАЛАНС) (2)'!E1417-'зведена (БАЛАНС) (2)'!F1417,0)</f>
        <v>0</v>
      </c>
      <c r="F1417" s="5">
        <f>IF('зведена (БАЛАНС) (2)'!F1417&gt;'зведена (БАЛАНС) (2)'!E1417,'зведена (БАЛАНС) (2)'!F1417-'зведена (БАЛАНС) (2)'!E1417,0)</f>
        <v>8074.5</v>
      </c>
    </row>
    <row r="1418" spans="1:6" x14ac:dyDescent="0.25">
      <c r="A1418" s="38">
        <v>22</v>
      </c>
      <c r="B1418" s="34" t="s">
        <v>985</v>
      </c>
      <c r="C1418" s="18" t="s">
        <v>267</v>
      </c>
      <c r="D1418" s="32" t="s">
        <v>2529</v>
      </c>
      <c r="E1418" s="5">
        <f>IF('зведена (БАЛАНС) (2)'!E1418&gt;'зведена (БАЛАНС) (2)'!F1418,'зведена (БАЛАНС) (2)'!E1418-'зведена (БАЛАНС) (2)'!F1418,0)</f>
        <v>0</v>
      </c>
      <c r="F1418" s="5">
        <f>IF('зведена (БАЛАНС) (2)'!F1418&gt;'зведена (БАЛАНС) (2)'!E1418,'зведена (БАЛАНС) (2)'!F1418-'зведена (БАЛАНС) (2)'!E1418,0)</f>
        <v>6188.7</v>
      </c>
    </row>
    <row r="1419" spans="1:6" x14ac:dyDescent="0.25">
      <c r="A1419" s="38">
        <v>22</v>
      </c>
      <c r="B1419" s="34" t="s">
        <v>985</v>
      </c>
      <c r="C1419" s="18" t="s">
        <v>268</v>
      </c>
      <c r="D1419" s="32" t="s">
        <v>2530</v>
      </c>
      <c r="E1419" s="5">
        <f>IF('зведена (БАЛАНС) (2)'!E1419&gt;'зведена (БАЛАНС) (2)'!F1419,'зведена (БАЛАНС) (2)'!E1419-'зведена (БАЛАНС) (2)'!F1419,0)</f>
        <v>0</v>
      </c>
      <c r="F1419" s="5">
        <f>IF('зведена (БАЛАНС) (2)'!F1419&gt;'зведена (БАЛАНС) (2)'!E1419,'зведена (БАЛАНС) (2)'!F1419-'зведена (БАЛАНС) (2)'!E1419,0)</f>
        <v>12983.5</v>
      </c>
    </row>
    <row r="1420" spans="1:6" x14ac:dyDescent="0.25">
      <c r="A1420" s="38">
        <v>22</v>
      </c>
      <c r="B1420" s="34" t="s">
        <v>985</v>
      </c>
      <c r="C1420" s="18" t="s">
        <v>443</v>
      </c>
      <c r="D1420" s="32" t="s">
        <v>2531</v>
      </c>
      <c r="E1420" s="5">
        <f>IF('зведена (БАЛАНС) (2)'!E1420&gt;'зведена (БАЛАНС) (2)'!F1420,'зведена (БАЛАНС) (2)'!E1420-'зведена (БАЛАНС) (2)'!F1420,0)</f>
        <v>0</v>
      </c>
      <c r="F1420" s="5">
        <f>IF('зведена (БАЛАНС) (2)'!F1420&gt;'зведена (БАЛАНС) (2)'!E1420,'зведена (БАЛАНС) (2)'!F1420-'зведена (БАЛАНС) (2)'!E1420,0)</f>
        <v>6784.1</v>
      </c>
    </row>
    <row r="1421" spans="1:6" x14ac:dyDescent="0.25">
      <c r="A1421" s="38">
        <v>22</v>
      </c>
      <c r="B1421" s="34" t="s">
        <v>984</v>
      </c>
      <c r="C1421" s="18" t="s">
        <v>444</v>
      </c>
      <c r="D1421" s="32" t="s">
        <v>2532</v>
      </c>
      <c r="E1421" s="5">
        <f>IF('зведена (БАЛАНС) (2)'!E1421&gt;'зведена (БАЛАНС) (2)'!F1421,'зведена (БАЛАНС) (2)'!E1421-'зведена (БАЛАНС) (2)'!F1421,0)</f>
        <v>0</v>
      </c>
      <c r="F1421" s="5">
        <f>IF('зведена (БАЛАНС) (2)'!F1421&gt;'зведена (БАЛАНС) (2)'!E1421,'зведена (БАЛАНС) (2)'!F1421-'зведена (БАЛАНС) (2)'!E1421,0)</f>
        <v>1949.5</v>
      </c>
    </row>
    <row r="1422" spans="1:6" x14ac:dyDescent="0.25">
      <c r="A1422" s="38">
        <v>22</v>
      </c>
      <c r="B1422" s="34" t="s">
        <v>984</v>
      </c>
      <c r="C1422" s="18" t="s">
        <v>445</v>
      </c>
      <c r="D1422" s="32" t="s">
        <v>2533</v>
      </c>
      <c r="E1422" s="5">
        <f>IF('зведена (БАЛАНС) (2)'!E1422&gt;'зведена (БАЛАНС) (2)'!F1422,'зведена (БАЛАНС) (2)'!E1422-'зведена (БАЛАНС) (2)'!F1422,0)</f>
        <v>0</v>
      </c>
      <c r="F1422" s="5">
        <f>IF('зведена (БАЛАНС) (2)'!F1422&gt;'зведена (БАЛАНС) (2)'!E1422,'зведена (БАЛАНС) (2)'!F1422-'зведена (БАЛАНС) (2)'!E1422,0)</f>
        <v>3166.4</v>
      </c>
    </row>
    <row r="1423" spans="1:6" x14ac:dyDescent="0.25">
      <c r="A1423" s="38">
        <v>22</v>
      </c>
      <c r="B1423" s="34" t="s">
        <v>984</v>
      </c>
      <c r="C1423" s="18" t="s">
        <v>446</v>
      </c>
      <c r="D1423" s="32" t="s">
        <v>2534</v>
      </c>
      <c r="E1423" s="5">
        <f>IF('зведена (БАЛАНС) (2)'!E1423&gt;'зведена (БАЛАНС) (2)'!F1423,'зведена (БАЛАНС) (2)'!E1423-'зведена (БАЛАНС) (2)'!F1423,0)</f>
        <v>0</v>
      </c>
      <c r="F1423" s="5">
        <f>IF('зведена (БАЛАНС) (2)'!F1423&gt;'зведена (БАЛАНС) (2)'!E1423,'зведена (БАЛАНС) (2)'!F1423-'зведена (БАЛАНС) (2)'!E1423,0)</f>
        <v>12910</v>
      </c>
    </row>
    <row r="1424" spans="1:6" x14ac:dyDescent="0.25">
      <c r="A1424" s="38">
        <v>22</v>
      </c>
      <c r="B1424" s="34" t="s">
        <v>983</v>
      </c>
      <c r="C1424" s="18" t="s">
        <v>642</v>
      </c>
      <c r="D1424" s="32" t="s">
        <v>2535</v>
      </c>
      <c r="E1424" s="5">
        <f>IF('зведена (БАЛАНС) (2)'!E1424&gt;'зведена (БАЛАНС) (2)'!F1424,'зведена (БАЛАНС) (2)'!E1424-'зведена (БАЛАНС) (2)'!F1424,0)</f>
        <v>0</v>
      </c>
      <c r="F1424" s="5">
        <f>IF('зведена (БАЛАНС) (2)'!F1424&gt;'зведена (БАЛАНС) (2)'!E1424,'зведена (БАЛАНС) (2)'!F1424-'зведена (БАЛАНС) (2)'!E1424,0)</f>
        <v>16750.5</v>
      </c>
    </row>
    <row r="1425" spans="1:6" ht="31.5" x14ac:dyDescent="0.25">
      <c r="A1425" s="38">
        <v>22</v>
      </c>
      <c r="B1425" s="34" t="s">
        <v>984</v>
      </c>
      <c r="C1425" s="18" t="s">
        <v>643</v>
      </c>
      <c r="D1425" s="32" t="s">
        <v>2536</v>
      </c>
      <c r="E1425" s="5">
        <f>IF('зведена (БАЛАНС) (2)'!E1425&gt;'зведена (БАЛАНС) (2)'!F1425,'зведена (БАЛАНС) (2)'!E1425-'зведена (БАЛАНС) (2)'!F1425,0)</f>
        <v>0</v>
      </c>
      <c r="F1425" s="5">
        <f>IF('зведена (БАЛАНС) (2)'!F1425&gt;'зведена (БАЛАНС) (2)'!E1425,'зведена (БАЛАНС) (2)'!F1425-'зведена (БАЛАНС) (2)'!E1425,0)</f>
        <v>9414.6</v>
      </c>
    </row>
    <row r="1426" spans="1:6" x14ac:dyDescent="0.25">
      <c r="A1426" s="38">
        <v>22</v>
      </c>
      <c r="B1426" s="34" t="s">
        <v>985</v>
      </c>
      <c r="C1426" s="18" t="s">
        <v>644</v>
      </c>
      <c r="D1426" s="32" t="s">
        <v>2537</v>
      </c>
      <c r="E1426" s="5">
        <f>IF('зведена (БАЛАНС) (2)'!E1426&gt;'зведена (БАЛАНС) (2)'!F1426,'зведена (БАЛАНС) (2)'!E1426-'зведена (БАЛАНС) (2)'!F1426,0)</f>
        <v>0</v>
      </c>
      <c r="F1426" s="5">
        <f>IF('зведена (БАЛАНС) (2)'!F1426&gt;'зведена (БАЛАНС) (2)'!E1426,'зведена (БАЛАНС) (2)'!F1426-'зведена (БАЛАНС) (2)'!E1426,0)</f>
        <v>5772.8</v>
      </c>
    </row>
    <row r="1427" spans="1:6" x14ac:dyDescent="0.25">
      <c r="A1427" s="38">
        <v>22</v>
      </c>
      <c r="B1427" s="34" t="s">
        <v>983</v>
      </c>
      <c r="C1427" s="18" t="s">
        <v>645</v>
      </c>
      <c r="D1427" s="32" t="s">
        <v>3126</v>
      </c>
      <c r="E1427" s="5">
        <f>IF('зведена (БАЛАНС) (2)'!E1427&gt;'зведена (БАЛАНС) (2)'!F1427,'зведена (БАЛАНС) (2)'!E1427-'зведена (БАЛАНС) (2)'!F1427,0)</f>
        <v>0</v>
      </c>
      <c r="F1427" s="5">
        <f>IF('зведена (БАЛАНС) (2)'!F1427&gt;'зведена (БАЛАНС) (2)'!E1427,'зведена (БАЛАНС) (2)'!F1427-'зведена (БАЛАНС) (2)'!E1427,0)</f>
        <v>0</v>
      </c>
    </row>
    <row r="1428" spans="1:6" x14ac:dyDescent="0.25">
      <c r="A1428" s="38">
        <v>22</v>
      </c>
      <c r="B1428" s="34" t="s">
        <v>984</v>
      </c>
      <c r="C1428" s="18" t="s">
        <v>646</v>
      </c>
      <c r="D1428" s="32" t="s">
        <v>2539</v>
      </c>
      <c r="E1428" s="5">
        <f>IF('зведена (БАЛАНС) (2)'!E1428&gt;'зведена (БАЛАНС) (2)'!F1428,'зведена (БАЛАНС) (2)'!E1428-'зведена (БАЛАНС) (2)'!F1428,0)</f>
        <v>0</v>
      </c>
      <c r="F1428" s="5">
        <f>IF('зведена (БАЛАНС) (2)'!F1428&gt;'зведена (БАЛАНС) (2)'!E1428,'зведена (БАЛАНС) (2)'!F1428-'зведена (БАЛАНС) (2)'!E1428,0)</f>
        <v>308.60000000000002</v>
      </c>
    </row>
    <row r="1429" spans="1:6" x14ac:dyDescent="0.25">
      <c r="A1429" s="38">
        <v>22</v>
      </c>
      <c r="B1429" s="34" t="s">
        <v>985</v>
      </c>
      <c r="C1429" s="18" t="s">
        <v>647</v>
      </c>
      <c r="D1429" s="32" t="s">
        <v>2540</v>
      </c>
      <c r="E1429" s="5">
        <f>IF('зведена (БАЛАНС) (2)'!E1429&gt;'зведена (БАЛАНС) (2)'!F1429,'зведена (БАЛАНС) (2)'!E1429-'зведена (БАЛАНС) (2)'!F1429,0)</f>
        <v>0</v>
      </c>
      <c r="F1429" s="5">
        <f>IF('зведена (БАЛАНС) (2)'!F1429&gt;'зведена (БАЛАНС) (2)'!E1429,'зведена (БАЛАНС) (2)'!F1429-'зведена (БАЛАНС) (2)'!E1429,0)</f>
        <v>3622.1</v>
      </c>
    </row>
    <row r="1430" spans="1:6" x14ac:dyDescent="0.25">
      <c r="A1430" s="38">
        <v>22</v>
      </c>
      <c r="B1430" s="34" t="s">
        <v>985</v>
      </c>
      <c r="C1430" s="18" t="s">
        <v>717</v>
      </c>
      <c r="D1430" s="32" t="s">
        <v>2541</v>
      </c>
      <c r="E1430" s="5">
        <f>IF('зведена (БАЛАНС) (2)'!E1430&gt;'зведена (БАЛАНС) (2)'!F1430,'зведена (БАЛАНС) (2)'!E1430-'зведена (БАЛАНС) (2)'!F1430,0)</f>
        <v>0</v>
      </c>
      <c r="F1430" s="5">
        <f>IF('зведена (БАЛАНС) (2)'!F1430&gt;'зведена (БАЛАНС) (2)'!E1430,'зведена (БАЛАНС) (2)'!F1430-'зведена (БАЛАНС) (2)'!E1430,0)</f>
        <v>7314.2</v>
      </c>
    </row>
    <row r="1431" spans="1:6" x14ac:dyDescent="0.25">
      <c r="A1431" s="38">
        <v>22</v>
      </c>
      <c r="B1431" s="34" t="s">
        <v>985</v>
      </c>
      <c r="C1431" s="18" t="s">
        <v>718</v>
      </c>
      <c r="D1431" s="32" t="s">
        <v>2542</v>
      </c>
      <c r="E1431" s="5">
        <f>IF('зведена (БАЛАНС) (2)'!E1431&gt;'зведена (БАЛАНС) (2)'!F1431,'зведена (БАЛАНС) (2)'!E1431-'зведена (БАЛАНС) (2)'!F1431,0)</f>
        <v>0</v>
      </c>
      <c r="F1431" s="5">
        <f>IF('зведена (БАЛАНС) (2)'!F1431&gt;'зведена (БАЛАНС) (2)'!E1431,'зведена (БАЛАНС) (2)'!F1431-'зведена (БАЛАНС) (2)'!E1431,0)</f>
        <v>4238.8999999999996</v>
      </c>
    </row>
    <row r="1432" spans="1:6" x14ac:dyDescent="0.25">
      <c r="A1432" s="38">
        <v>22</v>
      </c>
      <c r="B1432" s="34" t="s">
        <v>984</v>
      </c>
      <c r="C1432" s="18" t="s">
        <v>719</v>
      </c>
      <c r="D1432" s="32" t="s">
        <v>2543</v>
      </c>
      <c r="E1432" s="5">
        <f>IF('зведена (БАЛАНС) (2)'!E1432&gt;'зведена (БАЛАНС) (2)'!F1432,'зведена (БАЛАНС) (2)'!E1432-'зведена (БАЛАНС) (2)'!F1432,0)</f>
        <v>0</v>
      </c>
      <c r="F1432" s="5">
        <f>IF('зведена (БАЛАНС) (2)'!F1432&gt;'зведена (БАЛАНС) (2)'!E1432,'зведена (БАЛАНС) (2)'!F1432-'зведена (БАЛАНС) (2)'!E1432,0)</f>
        <v>8025.9</v>
      </c>
    </row>
    <row r="1433" spans="1:6" x14ac:dyDescent="0.25">
      <c r="A1433" s="38">
        <v>22</v>
      </c>
      <c r="B1433" s="34" t="s">
        <v>985</v>
      </c>
      <c r="C1433" s="18" t="s">
        <v>720</v>
      </c>
      <c r="D1433" s="32" t="s">
        <v>2544</v>
      </c>
      <c r="E1433" s="5">
        <f>IF('зведена (БАЛАНС) (2)'!E1433&gt;'зведена (БАЛАНС) (2)'!F1433,'зведена (БАЛАНС) (2)'!E1433-'зведена (БАЛАНС) (2)'!F1433,0)</f>
        <v>0</v>
      </c>
      <c r="F1433" s="5">
        <f>IF('зведена (БАЛАНС) (2)'!F1433&gt;'зведена (БАЛАНС) (2)'!E1433,'зведена (БАЛАНС) (2)'!F1433-'зведена (БАЛАНС) (2)'!E1433,0)</f>
        <v>11519.5</v>
      </c>
    </row>
    <row r="1434" spans="1:6" x14ac:dyDescent="0.25">
      <c r="A1434" s="38">
        <v>22</v>
      </c>
      <c r="B1434" s="34" t="s">
        <v>984</v>
      </c>
      <c r="C1434" s="18" t="s">
        <v>721</v>
      </c>
      <c r="D1434" s="32" t="s">
        <v>2253</v>
      </c>
      <c r="E1434" s="5">
        <f>IF('зведена (БАЛАНС) (2)'!E1434&gt;'зведена (БАЛАНС) (2)'!F1434,'зведена (БАЛАНС) (2)'!E1434-'зведена (БАЛАНС) (2)'!F1434,0)</f>
        <v>3357.8</v>
      </c>
      <c r="F1434" s="5">
        <f>IF('зведена (БАЛАНС) (2)'!F1434&gt;'зведена (БАЛАНС) (2)'!E1434,'зведена (БАЛАНС) (2)'!F1434-'зведена (БАЛАНС) (2)'!E1434,0)</f>
        <v>0</v>
      </c>
    </row>
    <row r="1435" spans="1:6" x14ac:dyDescent="0.25">
      <c r="A1435" s="38">
        <v>22</v>
      </c>
      <c r="B1435" s="34" t="s">
        <v>985</v>
      </c>
      <c r="C1435" s="18">
        <v>22540000000</v>
      </c>
      <c r="D1435" s="32" t="s">
        <v>2546</v>
      </c>
      <c r="E1435" s="5">
        <f>IF('зведена (БАЛАНС) (2)'!E1435&gt;'зведена (БАЛАНС) (2)'!F1435,'зведена (БАЛАНС) (2)'!E1435-'зведена (БАЛАНС) (2)'!F1435,0)</f>
        <v>0</v>
      </c>
      <c r="F1435" s="5">
        <f>IF('зведена (БАЛАНС) (2)'!F1435&gt;'зведена (БАЛАНС) (2)'!E1435,'зведена (БАЛАНС) (2)'!F1435-'зведена (БАЛАНС) (2)'!E1435,0)</f>
        <v>10496.1</v>
      </c>
    </row>
    <row r="1436" spans="1:6" x14ac:dyDescent="0.25">
      <c r="A1436" s="38">
        <v>22</v>
      </c>
      <c r="B1436" s="34" t="s">
        <v>984</v>
      </c>
      <c r="C1436" s="18">
        <v>22543000000</v>
      </c>
      <c r="D1436" s="32" t="s">
        <v>3127</v>
      </c>
      <c r="E1436" s="5">
        <f>IF('зведена (БАЛАНС) (2)'!E1436&gt;'зведена (БАЛАНС) (2)'!F1436,'зведена (БАЛАНС) (2)'!E1436-'зведена (БАЛАНС) (2)'!F1436,0)</f>
        <v>0</v>
      </c>
      <c r="F1436" s="5">
        <f>IF('зведена (БАЛАНС) (2)'!F1436&gt;'зведена (БАЛАНС) (2)'!E1436,'зведена (БАЛАНС) (2)'!F1436-'зведена (БАЛАНС) (2)'!E1436,0)</f>
        <v>1726.1</v>
      </c>
    </row>
    <row r="1437" spans="1:6" x14ac:dyDescent="0.25">
      <c r="A1437" s="38">
        <v>22</v>
      </c>
      <c r="B1437" s="34" t="s">
        <v>985</v>
      </c>
      <c r="C1437" s="18">
        <v>22544000000</v>
      </c>
      <c r="D1437" s="32" t="s">
        <v>2356</v>
      </c>
      <c r="E1437" s="5">
        <f>IF('зведена (БАЛАНС) (2)'!E1437&gt;'зведена (БАЛАНС) (2)'!F1437,'зведена (БАЛАНС) (2)'!E1437-'зведена (БАЛАНС) (2)'!F1437,0)</f>
        <v>0</v>
      </c>
      <c r="F1437" s="5">
        <f>IF('зведена (БАЛАНС) (2)'!F1437&gt;'зведена (БАЛАНС) (2)'!E1437,'зведена (БАЛАНС) (2)'!F1437-'зведена (БАЛАНС) (2)'!E1437,0)</f>
        <v>5140.3999999999996</v>
      </c>
    </row>
    <row r="1438" spans="1:6" x14ac:dyDescent="0.25">
      <c r="A1438" s="38">
        <v>22</v>
      </c>
      <c r="B1438" s="34" t="s">
        <v>986</v>
      </c>
      <c r="C1438" s="18">
        <v>22545000000</v>
      </c>
      <c r="D1438" s="32" t="s">
        <v>3128</v>
      </c>
      <c r="E1438" s="5">
        <f>IF('зведена (БАЛАНС) (2)'!E1438&gt;'зведена (БАЛАНС) (2)'!F1438,'зведена (БАЛАНС) (2)'!E1438-'зведена (БАЛАНС) (2)'!F1438,0)</f>
        <v>0</v>
      </c>
      <c r="F1438" s="5">
        <f>IF('зведена (БАЛАНС) (2)'!F1438&gt;'зведена (БАЛАНС) (2)'!E1438,'зведена (БАЛАНС) (2)'!F1438-'зведена (БАЛАНС) (2)'!E1438,0)</f>
        <v>8368.7999999999993</v>
      </c>
    </row>
    <row r="1439" spans="1:6" x14ac:dyDescent="0.25">
      <c r="A1439" s="38">
        <v>22</v>
      </c>
      <c r="B1439" s="34" t="s">
        <v>986</v>
      </c>
      <c r="C1439" s="18">
        <v>22546000000</v>
      </c>
      <c r="D1439" s="32" t="s">
        <v>3129</v>
      </c>
      <c r="E1439" s="5">
        <f>IF('зведена (БАЛАНС) (2)'!E1439&gt;'зведена (БАЛАНС) (2)'!F1439,'зведена (БАЛАНС) (2)'!E1439-'зведена (БАЛАНС) (2)'!F1439,0)</f>
        <v>75067.399999999994</v>
      </c>
      <c r="F1439" s="5">
        <f>IF('зведена (БАЛАНС) (2)'!F1439&gt;'зведена (БАЛАНС) (2)'!E1439,'зведена (БАЛАНС) (2)'!F1439-'зведена (БАЛАНС) (2)'!E1439,0)</f>
        <v>0</v>
      </c>
    </row>
    <row r="1440" spans="1:6" x14ac:dyDescent="0.25">
      <c r="A1440" s="38">
        <v>22</v>
      </c>
      <c r="B1440" s="34" t="s">
        <v>984</v>
      </c>
      <c r="C1440" s="18">
        <v>22547000000</v>
      </c>
      <c r="D1440" s="32" t="s">
        <v>3130</v>
      </c>
      <c r="E1440" s="5">
        <f>IF('зведена (БАЛАНС) (2)'!E1440&gt;'зведена (БАЛАНС) (2)'!F1440,'зведена (БАЛАНС) (2)'!E1440-'зведена (БАЛАНС) (2)'!F1440,0)</f>
        <v>0</v>
      </c>
      <c r="F1440" s="5">
        <f>IF('зведена (БАЛАНС) (2)'!F1440&gt;'зведена (БАЛАНС) (2)'!E1440,'зведена (БАЛАНС) (2)'!F1440-'зведена (БАЛАНС) (2)'!E1440,0)</f>
        <v>8913.7000000000007</v>
      </c>
    </row>
    <row r="1441" spans="1:6" x14ac:dyDescent="0.25">
      <c r="A1441" s="38">
        <v>22</v>
      </c>
      <c r="B1441" s="34" t="s">
        <v>984</v>
      </c>
      <c r="C1441" s="18">
        <v>22548000000</v>
      </c>
      <c r="D1441" s="32" t="s">
        <v>3131</v>
      </c>
      <c r="E1441" s="5">
        <f>IF('зведена (БАЛАНС) (2)'!E1441&gt;'зведена (БАЛАНС) (2)'!F1441,'зведена (БАЛАНС) (2)'!E1441-'зведена (БАЛАНС) (2)'!F1441,0)</f>
        <v>0</v>
      </c>
      <c r="F1441" s="5">
        <f>IF('зведена (БАЛАНС) (2)'!F1441&gt;'зведена (БАЛАНС) (2)'!E1441,'зведена (БАЛАНС) (2)'!F1441-'зведена (БАЛАНС) (2)'!E1441,0)</f>
        <v>3535.5</v>
      </c>
    </row>
    <row r="1442" spans="1:6" x14ac:dyDescent="0.25">
      <c r="A1442" s="38">
        <v>22</v>
      </c>
      <c r="B1442" s="34" t="s">
        <v>984</v>
      </c>
      <c r="C1442" s="18">
        <v>22549000000</v>
      </c>
      <c r="D1442" s="32" t="s">
        <v>2833</v>
      </c>
      <c r="E1442" s="5">
        <f>IF('зведена (БАЛАНС) (2)'!E1442&gt;'зведена (БАЛАНС) (2)'!F1442,'зведена (БАЛАНС) (2)'!E1442-'зведена (БАЛАНС) (2)'!F1442,0)</f>
        <v>615.70000000000005</v>
      </c>
      <c r="F1442" s="5">
        <f>IF('зведена (БАЛАНС) (2)'!F1442&gt;'зведена (БАЛАНС) (2)'!E1442,'зведена (БАЛАНС) (2)'!F1442-'зведена (БАЛАНС) (2)'!E1442,0)</f>
        <v>0</v>
      </c>
    </row>
    <row r="1443" spans="1:6" x14ac:dyDescent="0.25">
      <c r="A1443" s="38">
        <v>22</v>
      </c>
      <c r="B1443" s="34" t="s">
        <v>986</v>
      </c>
      <c r="C1443" s="18">
        <v>22552000000</v>
      </c>
      <c r="D1443" s="32" t="s">
        <v>3132</v>
      </c>
      <c r="E1443" s="5">
        <f>IF('зведена (БАЛАНС) (2)'!E1443&gt;'зведена (БАЛАНС) (2)'!F1443,'зведена (БАЛАНС) (2)'!E1443-'зведена (БАЛАНС) (2)'!F1443,0)</f>
        <v>0</v>
      </c>
      <c r="F1443" s="5">
        <f>IF('зведена (БАЛАНС) (2)'!F1443&gt;'зведена (БАЛАНС) (2)'!E1443,'зведена (БАЛАНС) (2)'!F1443-'зведена (БАЛАНС) (2)'!E1443,0)</f>
        <v>0</v>
      </c>
    </row>
    <row r="1444" spans="1:6" x14ac:dyDescent="0.25">
      <c r="A1444" s="38">
        <v>22</v>
      </c>
      <c r="B1444" s="34" t="s">
        <v>985</v>
      </c>
      <c r="C1444" s="18">
        <v>22553000000</v>
      </c>
      <c r="D1444" s="32" t="s">
        <v>2553</v>
      </c>
      <c r="E1444" s="5">
        <f>IF('зведена (БАЛАНС) (2)'!E1444&gt;'зведена (БАЛАНС) (2)'!F1444,'зведена (БАЛАНС) (2)'!E1444-'зведена (БАЛАНС) (2)'!F1444,0)</f>
        <v>0</v>
      </c>
      <c r="F1444" s="5">
        <f>IF('зведена (БАЛАНС) (2)'!F1444&gt;'зведена (БАЛАНС) (2)'!E1444,'зведена (БАЛАНС) (2)'!F1444-'зведена (БАЛАНС) (2)'!E1444,0)</f>
        <v>14303.6</v>
      </c>
    </row>
    <row r="1445" spans="1:6" x14ac:dyDescent="0.25">
      <c r="A1445" s="38">
        <v>22</v>
      </c>
      <c r="B1445" s="34" t="s">
        <v>983</v>
      </c>
      <c r="C1445" s="18">
        <v>22554000000</v>
      </c>
      <c r="D1445" s="32" t="s">
        <v>2554</v>
      </c>
      <c r="E1445" s="5">
        <f>IF('зведена (БАЛАНС) (2)'!E1445&gt;'зведена (БАЛАНС) (2)'!F1445,'зведена (БАЛАНС) (2)'!E1445-'зведена (БАЛАНС) (2)'!F1445,0)</f>
        <v>0</v>
      </c>
      <c r="F1445" s="5">
        <f>IF('зведена (БАЛАНС) (2)'!F1445&gt;'зведена (БАЛАНС) (2)'!E1445,'зведена (БАЛАНС) (2)'!F1445-'зведена (БАЛАНС) (2)'!E1445,0)</f>
        <v>12362.7</v>
      </c>
    </row>
    <row r="1446" spans="1:6" x14ac:dyDescent="0.25">
      <c r="A1446" s="38">
        <v>22</v>
      </c>
      <c r="B1446" s="34" t="s">
        <v>985</v>
      </c>
      <c r="C1446" s="18">
        <v>22555000000</v>
      </c>
      <c r="D1446" s="32" t="s">
        <v>2555</v>
      </c>
      <c r="E1446" s="5">
        <f>IF('зведена (БАЛАНС) (2)'!E1446&gt;'зведена (БАЛАНС) (2)'!F1446,'зведена (БАЛАНС) (2)'!E1446-'зведена (БАЛАНС) (2)'!F1446,0)</f>
        <v>0</v>
      </c>
      <c r="F1446" s="5">
        <f>IF('зведена (БАЛАНС) (2)'!F1446&gt;'зведена (БАЛАНС) (2)'!E1446,'зведена (БАЛАНС) (2)'!F1446-'зведена (БАЛАНС) (2)'!E1446,0)</f>
        <v>5611.5</v>
      </c>
    </row>
    <row r="1447" spans="1:6" x14ac:dyDescent="0.25">
      <c r="A1447" s="38">
        <v>22</v>
      </c>
      <c r="B1447" s="34" t="s">
        <v>984</v>
      </c>
      <c r="C1447" s="18">
        <v>22556000000</v>
      </c>
      <c r="D1447" s="32" t="s">
        <v>2556</v>
      </c>
      <c r="E1447" s="5">
        <f>IF('зведена (БАЛАНС) (2)'!E1447&gt;'зведена (БАЛАНС) (2)'!F1447,'зведена (БАЛАНС) (2)'!E1447-'зведена (БАЛАНС) (2)'!F1447,0)</f>
        <v>0</v>
      </c>
      <c r="F1447" s="5">
        <f>IF('зведена (БАЛАНС) (2)'!F1447&gt;'зведена (БАЛАНС) (2)'!E1447,'зведена (БАЛАНС) (2)'!F1447-'зведена (БАЛАНС) (2)'!E1447,0)</f>
        <v>2181.6999999999998</v>
      </c>
    </row>
    <row r="1448" spans="1:6" x14ac:dyDescent="0.25">
      <c r="A1448" s="38">
        <v>22</v>
      </c>
      <c r="B1448" s="34" t="s">
        <v>983</v>
      </c>
      <c r="C1448" s="18">
        <v>22557000000</v>
      </c>
      <c r="D1448" s="32" t="s">
        <v>2557</v>
      </c>
      <c r="E1448" s="5">
        <f>IF('зведена (БАЛАНС) (2)'!E1448&gt;'зведена (БАЛАНС) (2)'!F1448,'зведена (БАЛАНС) (2)'!E1448-'зведена (БАЛАНС) (2)'!F1448,0)</f>
        <v>0</v>
      </c>
      <c r="F1448" s="5">
        <f>IF('зведена (БАЛАНС) (2)'!F1448&gt;'зведена (БАЛАНС) (2)'!E1448,'зведена (БАЛАНС) (2)'!F1448-'зведена (БАЛАНС) (2)'!E1448,0)</f>
        <v>16774.8</v>
      </c>
    </row>
    <row r="1449" spans="1:6" x14ac:dyDescent="0.25">
      <c r="A1449" s="38">
        <v>22</v>
      </c>
      <c r="B1449" s="34" t="s">
        <v>986</v>
      </c>
      <c r="C1449" s="18">
        <v>22558000000</v>
      </c>
      <c r="D1449" s="32" t="s">
        <v>2558</v>
      </c>
      <c r="E1449" s="5">
        <f>IF('зведена (БАЛАНС) (2)'!E1449&gt;'зведена (БАЛАНС) (2)'!F1449,'зведена (БАЛАНС) (2)'!E1449-'зведена (БАЛАНС) (2)'!F1449,0)</f>
        <v>0</v>
      </c>
      <c r="F1449" s="5">
        <f>IF('зведена (БАЛАНС) (2)'!F1449&gt;'зведена (БАЛАНС) (2)'!E1449,'зведена (БАЛАНС) (2)'!F1449-'зведена (БАЛАНС) (2)'!E1449,0)</f>
        <v>48477.2</v>
      </c>
    </row>
    <row r="1450" spans="1:6" x14ac:dyDescent="0.25">
      <c r="A1450" s="38">
        <v>22</v>
      </c>
      <c r="B1450" s="34" t="s">
        <v>984</v>
      </c>
      <c r="C1450" s="18">
        <v>22559000000</v>
      </c>
      <c r="D1450" s="32" t="s">
        <v>2559</v>
      </c>
      <c r="E1450" s="5">
        <f>IF('зведена (БАЛАНС) (2)'!E1450&gt;'зведена (БАЛАНС) (2)'!F1450,'зведена (БАЛАНС) (2)'!E1450-'зведена (БАЛАНС) (2)'!F1450,0)</f>
        <v>0</v>
      </c>
      <c r="F1450" s="5">
        <f>IF('зведена (БАЛАНС) (2)'!F1450&gt;'зведена (БАЛАНС) (2)'!E1450,'зведена (БАЛАНС) (2)'!F1450-'зведена (БАЛАНС) (2)'!E1450,0)</f>
        <v>3052.5</v>
      </c>
    </row>
    <row r="1451" spans="1:6" x14ac:dyDescent="0.25">
      <c r="A1451" s="38">
        <v>22</v>
      </c>
      <c r="B1451" s="34" t="s">
        <v>984</v>
      </c>
      <c r="C1451" s="18">
        <v>22560000000</v>
      </c>
      <c r="D1451" s="32" t="s">
        <v>2560</v>
      </c>
      <c r="E1451" s="5">
        <f>IF('зведена (БАЛАНС) (2)'!E1451&gt;'зведена (БАЛАНС) (2)'!F1451,'зведена (БАЛАНС) (2)'!E1451-'зведена (БАЛАНС) (2)'!F1451,0)</f>
        <v>0</v>
      </c>
      <c r="F1451" s="5">
        <f>IF('зведена (БАЛАНС) (2)'!F1451&gt;'зведена (БАЛАНС) (2)'!E1451,'зведена (БАЛАНС) (2)'!F1451-'зведена (БАЛАНС) (2)'!E1451,0)</f>
        <v>5169.7</v>
      </c>
    </row>
    <row r="1452" spans="1:6" x14ac:dyDescent="0.25">
      <c r="A1452" s="38">
        <v>22</v>
      </c>
      <c r="B1452" s="34" t="s">
        <v>984</v>
      </c>
      <c r="C1452" s="18">
        <v>22561000000</v>
      </c>
      <c r="D1452" s="32" t="s">
        <v>2561</v>
      </c>
      <c r="E1452" s="5">
        <f>IF('зведена (БАЛАНС) (2)'!E1452&gt;'зведена (БАЛАНС) (2)'!F1452,'зведена (БАЛАНС) (2)'!E1452-'зведена (БАЛАНС) (2)'!F1452,0)</f>
        <v>0</v>
      </c>
      <c r="F1452" s="5">
        <f>IF('зведена (БАЛАНС) (2)'!F1452&gt;'зведена (БАЛАНС) (2)'!E1452,'зведена (БАЛАНС) (2)'!F1452-'зведена (БАЛАНС) (2)'!E1452,0)</f>
        <v>10198.9</v>
      </c>
    </row>
    <row r="1453" spans="1:6" x14ac:dyDescent="0.25">
      <c r="A1453" s="38">
        <v>22</v>
      </c>
      <c r="B1453" s="34" t="s">
        <v>984</v>
      </c>
      <c r="C1453" s="18">
        <v>22562000000</v>
      </c>
      <c r="D1453" s="32" t="s">
        <v>2562</v>
      </c>
      <c r="E1453" s="5">
        <f>IF('зведена (БАЛАНС) (2)'!E1453&gt;'зведена (БАЛАНС) (2)'!F1453,'зведена (БАЛАНС) (2)'!E1453-'зведена (БАЛАНС) (2)'!F1453,0)</f>
        <v>0</v>
      </c>
      <c r="F1453" s="5">
        <f>IF('зведена (БАЛАНС) (2)'!F1453&gt;'зведена (БАЛАНС) (2)'!E1453,'зведена (БАЛАНС) (2)'!F1453-'зведена (БАЛАНС) (2)'!E1453,0)</f>
        <v>2050.5</v>
      </c>
    </row>
    <row r="1454" spans="1:6" x14ac:dyDescent="0.25">
      <c r="A1454" s="38">
        <v>22</v>
      </c>
      <c r="B1454" s="34" t="s">
        <v>985</v>
      </c>
      <c r="C1454" s="18">
        <v>22563000000</v>
      </c>
      <c r="D1454" s="32" t="s">
        <v>2563</v>
      </c>
      <c r="E1454" s="5">
        <f>IF('зведена (БАЛАНС) (2)'!E1454&gt;'зведена (БАЛАНС) (2)'!F1454,'зведена (БАЛАНС) (2)'!E1454-'зведена (БАЛАНС) (2)'!F1454,0)</f>
        <v>0</v>
      </c>
      <c r="F1454" s="5">
        <f>IF('зведена (БАЛАНС) (2)'!F1454&gt;'зведена (БАЛАНС) (2)'!E1454,'зведена (БАЛАНС) (2)'!F1454-'зведена (БАЛАНС) (2)'!E1454,0)</f>
        <v>7910.9</v>
      </c>
    </row>
    <row r="1455" spans="1:6" x14ac:dyDescent="0.25">
      <c r="A1455" s="38">
        <v>22</v>
      </c>
      <c r="B1455" s="34" t="s">
        <v>986</v>
      </c>
      <c r="C1455" s="18">
        <v>22564000000</v>
      </c>
      <c r="D1455" s="32" t="s">
        <v>2564</v>
      </c>
      <c r="E1455" s="5">
        <f>IF('зведена (БАЛАНС) (2)'!E1455&gt;'зведена (БАЛАНС) (2)'!F1455,'зведена (БАЛАНС) (2)'!E1455-'зведена (БАЛАНС) (2)'!F1455,0)</f>
        <v>91701.4</v>
      </c>
      <c r="F1455" s="5">
        <f>IF('зведена (БАЛАНС) (2)'!F1455&gt;'зведена (БАЛАНС) (2)'!E1455,'зведена (БАЛАНС) (2)'!F1455-'зведена (БАЛАНС) (2)'!E1455,0)</f>
        <v>0</v>
      </c>
    </row>
    <row r="1456" spans="1:6" x14ac:dyDescent="0.25">
      <c r="A1456" s="38">
        <v>22</v>
      </c>
      <c r="B1456" s="34" t="s">
        <v>986</v>
      </c>
      <c r="C1456" s="18">
        <v>22565000000</v>
      </c>
      <c r="D1456" s="32" t="s">
        <v>2565</v>
      </c>
      <c r="E1456" s="5">
        <f>IF('зведена (БАЛАНС) (2)'!E1456&gt;'зведена (БАЛАНС) (2)'!F1456,'зведена (БАЛАНС) (2)'!E1456-'зведена (БАЛАНС) (2)'!F1456,0)</f>
        <v>0</v>
      </c>
      <c r="F1456" s="5">
        <f>IF('зведена (БАЛАНС) (2)'!F1456&gt;'зведена (БАЛАНС) (2)'!E1456,'зведена (БАЛАНС) (2)'!F1456-'зведена (БАЛАНС) (2)'!E1456,0)</f>
        <v>0</v>
      </c>
    </row>
    <row r="1457" spans="1:6" x14ac:dyDescent="0.25">
      <c r="A1457" s="38">
        <v>22</v>
      </c>
      <c r="B1457" s="34" t="s">
        <v>984</v>
      </c>
      <c r="C1457" s="18">
        <v>22566000000</v>
      </c>
      <c r="D1457" s="32" t="s">
        <v>2566</v>
      </c>
      <c r="E1457" s="5">
        <f>IF('зведена (БАЛАНС) (2)'!E1457&gt;'зведена (БАЛАНС) (2)'!F1457,'зведена (БАЛАНС) (2)'!E1457-'зведена (БАЛАНС) (2)'!F1457,0)</f>
        <v>0</v>
      </c>
      <c r="F1457" s="5">
        <f>IF('зведена (БАЛАНС) (2)'!F1457&gt;'зведена (БАЛАНС) (2)'!E1457,'зведена (БАЛАНС) (2)'!F1457-'зведена (БАЛАНС) (2)'!E1457,0)</f>
        <v>2620.3000000000002</v>
      </c>
    </row>
    <row r="1458" spans="1:6" x14ac:dyDescent="0.25">
      <c r="A1458" s="38">
        <v>22</v>
      </c>
      <c r="B1458" s="34" t="s">
        <v>985</v>
      </c>
      <c r="C1458" s="18">
        <v>22567000000</v>
      </c>
      <c r="D1458" s="32" t="s">
        <v>2567</v>
      </c>
      <c r="E1458" s="5">
        <f>IF('зведена (БАЛАНС) (2)'!E1458&gt;'зведена (БАЛАНС) (2)'!F1458,'зведена (БАЛАНС) (2)'!E1458-'зведена (БАЛАНС) (2)'!F1458,0)</f>
        <v>0</v>
      </c>
      <c r="F1458" s="5">
        <f>IF('зведена (БАЛАНС) (2)'!F1458&gt;'зведена (БАЛАНС) (2)'!E1458,'зведена (БАЛАНС) (2)'!F1458-'зведена (БАЛАНС) (2)'!E1458,0)</f>
        <v>3702.3</v>
      </c>
    </row>
    <row r="1459" spans="1:6" x14ac:dyDescent="0.25">
      <c r="A1459" s="36">
        <v>23</v>
      </c>
      <c r="B1459" s="17" t="s">
        <v>7</v>
      </c>
      <c r="C1459" s="17" t="s">
        <v>820</v>
      </c>
      <c r="D1459" s="11" t="s">
        <v>24</v>
      </c>
      <c r="E1459" s="11">
        <f>E1460+E1461+E1466</f>
        <v>155556.90000000002</v>
      </c>
      <c r="F1459" s="11">
        <f>F1460+F1461+F1466</f>
        <v>304088</v>
      </c>
    </row>
    <row r="1460" spans="1:6" x14ac:dyDescent="0.25">
      <c r="A1460" s="38">
        <v>23</v>
      </c>
      <c r="B1460" s="34" t="s">
        <v>6</v>
      </c>
      <c r="C1460" s="18" t="s">
        <v>206</v>
      </c>
      <c r="D1460" s="32" t="s">
        <v>862</v>
      </c>
      <c r="E1460" s="5">
        <f>IF('зведена (БАЛАНС) (2)'!E1460&gt;'зведена (БАЛАНС) (2)'!F1460,'зведена (БАЛАНС) (2)'!E1460-'зведена (БАЛАНС) (2)'!F1460,0)</f>
        <v>0</v>
      </c>
      <c r="F1460" s="5">
        <f>IF('зведена (БАЛАНС) (2)'!F1460&gt;'зведена (БАЛАНС) (2)'!E1460,'зведена (БАЛАНС) (2)'!F1460-'зведена (БАЛАНС) (2)'!E1460,0)</f>
        <v>31901.599999999999</v>
      </c>
    </row>
    <row r="1461" spans="1:6" x14ac:dyDescent="0.25">
      <c r="A1461" s="37">
        <v>23</v>
      </c>
      <c r="B1461" s="19" t="s">
        <v>5</v>
      </c>
      <c r="C1461" s="19" t="s">
        <v>821</v>
      </c>
      <c r="D1461" s="7" t="s">
        <v>2816</v>
      </c>
      <c r="E1461" s="7">
        <f>SUM(E1462:E1465)</f>
        <v>0</v>
      </c>
      <c r="F1461" s="7">
        <f>SUM(F1462:F1465)</f>
        <v>0</v>
      </c>
    </row>
    <row r="1462" spans="1:6" x14ac:dyDescent="0.25">
      <c r="A1462" s="38">
        <v>23</v>
      </c>
      <c r="B1462" s="34" t="s">
        <v>4</v>
      </c>
      <c r="C1462" s="18" t="s">
        <v>207</v>
      </c>
      <c r="D1462" s="32" t="s">
        <v>963</v>
      </c>
      <c r="E1462" s="5">
        <f>IF('зведена (БАЛАНС) (2)'!E1462&gt;'зведена (БАЛАНС) (2)'!F1462,'зведена (БАЛАНС) (2)'!E1462-'зведена (БАЛАНС) (2)'!F1462,0)</f>
        <v>0</v>
      </c>
      <c r="F1462" s="5">
        <f>IF('зведена (БАЛАНС) (2)'!F1462&gt;'зведена (БАЛАНС) (2)'!E1462,'зведена (БАЛАНС) (2)'!F1462-'зведена (БАЛАНС) (2)'!E1462,0)</f>
        <v>0</v>
      </c>
    </row>
    <row r="1463" spans="1:6" x14ac:dyDescent="0.25">
      <c r="A1463" s="38">
        <v>23</v>
      </c>
      <c r="B1463" s="34" t="s">
        <v>4</v>
      </c>
      <c r="C1463" s="18" t="s">
        <v>208</v>
      </c>
      <c r="D1463" s="32" t="s">
        <v>964</v>
      </c>
      <c r="E1463" s="5">
        <f>IF('зведена (БАЛАНС) (2)'!E1463&gt;'зведена (БАЛАНС) (2)'!F1463,'зведена (БАЛАНС) (2)'!E1463-'зведена (БАЛАНС) (2)'!F1463,0)</f>
        <v>0</v>
      </c>
      <c r="F1463" s="5">
        <f>IF('зведена (БАЛАНС) (2)'!F1463&gt;'зведена (БАЛАНС) (2)'!E1463,'зведена (БАЛАНС) (2)'!F1463-'зведена (БАЛАНС) (2)'!E1463,0)</f>
        <v>0</v>
      </c>
    </row>
    <row r="1464" spans="1:6" x14ac:dyDescent="0.25">
      <c r="A1464" s="38">
        <v>23</v>
      </c>
      <c r="B1464" s="34" t="s">
        <v>4</v>
      </c>
      <c r="C1464" s="18" t="s">
        <v>209</v>
      </c>
      <c r="D1464" s="32" t="s">
        <v>965</v>
      </c>
      <c r="E1464" s="5">
        <f>IF('зведена (БАЛАНС) (2)'!E1464&gt;'зведена (БАЛАНС) (2)'!F1464,'зведена (БАЛАНС) (2)'!E1464-'зведена (БАЛАНС) (2)'!F1464,0)</f>
        <v>0</v>
      </c>
      <c r="F1464" s="5">
        <f>IF('зведена (БАЛАНС) (2)'!F1464&gt;'зведена (БАЛАНС) (2)'!E1464,'зведена (БАЛАНС) (2)'!F1464-'зведена (БАЛАНС) (2)'!E1464,0)</f>
        <v>0</v>
      </c>
    </row>
    <row r="1465" spans="1:6" x14ac:dyDescent="0.25">
      <c r="A1465" s="38">
        <v>23</v>
      </c>
      <c r="B1465" s="34" t="s">
        <v>4</v>
      </c>
      <c r="C1465" s="18" t="s">
        <v>210</v>
      </c>
      <c r="D1465" s="32" t="s">
        <v>966</v>
      </c>
      <c r="E1465" s="5">
        <f>IF('зведена (БАЛАНС) (2)'!E1465&gt;'зведена (БАЛАНС) (2)'!F1465,'зведена (БАЛАНС) (2)'!E1465-'зведена (БАЛАНС) (2)'!F1465,0)</f>
        <v>0</v>
      </c>
      <c r="F1465" s="5">
        <f>IF('зведена (БАЛАНС) (2)'!F1465&gt;'зведена (БАЛАНС) (2)'!E1465,'зведена (БАЛАНС) (2)'!F1465-'зведена (БАЛАНС) (2)'!E1465,0)</f>
        <v>0</v>
      </c>
    </row>
    <row r="1466" spans="1:6" x14ac:dyDescent="0.25">
      <c r="A1466" s="37">
        <v>23</v>
      </c>
      <c r="B1466" s="19" t="s">
        <v>28</v>
      </c>
      <c r="C1466" s="19" t="s">
        <v>822</v>
      </c>
      <c r="D1466" s="20" t="s">
        <v>2789</v>
      </c>
      <c r="E1466" s="7">
        <f>SUM(E1467:E1532)</f>
        <v>155556.90000000002</v>
      </c>
      <c r="F1466" s="7">
        <f>SUM(F1467:F1532)</f>
        <v>272186.40000000002</v>
      </c>
    </row>
    <row r="1467" spans="1:6" x14ac:dyDescent="0.25">
      <c r="A1467" s="38">
        <v>23</v>
      </c>
      <c r="B1467" s="34" t="s">
        <v>984</v>
      </c>
      <c r="C1467" s="18" t="s">
        <v>211</v>
      </c>
      <c r="D1467" s="32" t="s">
        <v>2568</v>
      </c>
      <c r="E1467" s="5">
        <f>IF('зведена (БАЛАНС) (2)'!E1467&gt;'зведена (БАЛАНС) (2)'!F1467,'зведена (БАЛАНС) (2)'!E1467-'зведена (БАЛАНС) (2)'!F1467,0)</f>
        <v>0</v>
      </c>
      <c r="F1467" s="5">
        <f>IF('зведена (БАЛАНС) (2)'!F1467&gt;'зведена (БАЛАНС) (2)'!E1467,'зведена (БАЛАНС) (2)'!F1467-'зведена (БАЛАНС) (2)'!E1467,0)</f>
        <v>9280.6</v>
      </c>
    </row>
    <row r="1468" spans="1:6" x14ac:dyDescent="0.25">
      <c r="A1468" s="38">
        <v>23</v>
      </c>
      <c r="B1468" s="34" t="s">
        <v>985</v>
      </c>
      <c r="C1468" s="18" t="s">
        <v>212</v>
      </c>
      <c r="D1468" s="32" t="s">
        <v>2569</v>
      </c>
      <c r="E1468" s="5">
        <f>IF('зведена (БАЛАНС) (2)'!E1468&gt;'зведена (БАЛАНС) (2)'!F1468,'зведена (БАЛАНС) (2)'!E1468-'зведена (БАЛАНС) (2)'!F1468,0)</f>
        <v>3954.3</v>
      </c>
      <c r="F1468" s="5">
        <f>IF('зведена (БАЛАНС) (2)'!F1468&gt;'зведена (БАЛАНС) (2)'!E1468,'зведена (БАЛАНС) (2)'!F1468-'зведена (БАЛАНС) (2)'!E1468,0)</f>
        <v>0</v>
      </c>
    </row>
    <row r="1469" spans="1:6" x14ac:dyDescent="0.25">
      <c r="A1469" s="38">
        <v>23</v>
      </c>
      <c r="B1469" s="34" t="s">
        <v>984</v>
      </c>
      <c r="C1469" s="18" t="s">
        <v>213</v>
      </c>
      <c r="D1469" s="32" t="s">
        <v>2570</v>
      </c>
      <c r="E1469" s="5">
        <f>IF('зведена (БАЛАНС) (2)'!E1469&gt;'зведена (БАЛАНС) (2)'!F1469,'зведена (БАЛАНС) (2)'!E1469-'зведена (БАЛАНС) (2)'!F1469,0)</f>
        <v>0</v>
      </c>
      <c r="F1469" s="5">
        <f>IF('зведена (БАЛАНС) (2)'!F1469&gt;'зведена (БАЛАНС) (2)'!E1469,'зведена (БАЛАНС) (2)'!F1469-'зведена (БАЛАНС) (2)'!E1469,0)</f>
        <v>914.9</v>
      </c>
    </row>
    <row r="1470" spans="1:6" x14ac:dyDescent="0.25">
      <c r="A1470" s="38">
        <v>23</v>
      </c>
      <c r="B1470" s="34" t="s">
        <v>983</v>
      </c>
      <c r="C1470" s="18" t="s">
        <v>447</v>
      </c>
      <c r="D1470" s="32" t="s">
        <v>2571</v>
      </c>
      <c r="E1470" s="5">
        <f>IF('зведена (БАЛАНС) (2)'!E1470&gt;'зведена (БАЛАНС) (2)'!F1470,'зведена (БАЛАНС) (2)'!E1470-'зведена (БАЛАНС) (2)'!F1470,0)</f>
        <v>0</v>
      </c>
      <c r="F1470" s="5">
        <f>IF('зведена (БАЛАНС) (2)'!F1470&gt;'зведена (БАЛАНС) (2)'!E1470,'зведена (БАЛАНС) (2)'!F1470-'зведена (БАЛАНС) (2)'!E1470,0)</f>
        <v>6962.5</v>
      </c>
    </row>
    <row r="1471" spans="1:6" x14ac:dyDescent="0.25">
      <c r="A1471" s="38">
        <v>23</v>
      </c>
      <c r="B1471" s="34" t="s">
        <v>985</v>
      </c>
      <c r="C1471" s="18" t="s">
        <v>448</v>
      </c>
      <c r="D1471" s="32" t="s">
        <v>2572</v>
      </c>
      <c r="E1471" s="5">
        <f>IF('зведена (БАЛАНС) (2)'!E1471&gt;'зведена (БАЛАНС) (2)'!F1471,'зведена (БАЛАНС) (2)'!E1471-'зведена (БАЛАНС) (2)'!F1471,0)</f>
        <v>0</v>
      </c>
      <c r="F1471" s="5">
        <f>IF('зведена (БАЛАНС) (2)'!F1471&gt;'зведена (БАЛАНС) (2)'!E1471,'зведена (БАЛАНС) (2)'!F1471-'зведена (БАЛАНС) (2)'!E1471,0)</f>
        <v>0</v>
      </c>
    </row>
    <row r="1472" spans="1:6" x14ac:dyDescent="0.25">
      <c r="A1472" s="38">
        <v>23</v>
      </c>
      <c r="B1472" s="34" t="s">
        <v>984</v>
      </c>
      <c r="C1472" s="18" t="s">
        <v>449</v>
      </c>
      <c r="D1472" s="32" t="s">
        <v>2573</v>
      </c>
      <c r="E1472" s="5">
        <f>IF('зведена (БАЛАНС) (2)'!E1472&gt;'зведена (БАЛАНС) (2)'!F1472,'зведена (БАЛАНС) (2)'!E1472-'зведена (БАЛАНС) (2)'!F1472,0)</f>
        <v>0</v>
      </c>
      <c r="F1472" s="5">
        <f>IF('зведена (БАЛАНС) (2)'!F1472&gt;'зведена (БАЛАНС) (2)'!E1472,'зведена (БАЛАНС) (2)'!F1472-'зведена (БАЛАНС) (2)'!E1472,0)</f>
        <v>2389.6999999999998</v>
      </c>
    </row>
    <row r="1473" spans="1:6" x14ac:dyDescent="0.25">
      <c r="A1473" s="38">
        <v>23</v>
      </c>
      <c r="B1473" s="34" t="s">
        <v>984</v>
      </c>
      <c r="C1473" s="18" t="s">
        <v>501</v>
      </c>
      <c r="D1473" s="32" t="s">
        <v>2574</v>
      </c>
      <c r="E1473" s="5">
        <f>IF('зведена (БАЛАНС) (2)'!E1473&gt;'зведена (БАЛАНС) (2)'!F1473,'зведена (БАЛАНС) (2)'!E1473-'зведена (БАЛАНС) (2)'!F1473,0)</f>
        <v>0</v>
      </c>
      <c r="F1473" s="5">
        <f>IF('зведена (БАЛАНС) (2)'!F1473&gt;'зведена (БАЛАНС) (2)'!E1473,'зведена (БАЛАНС) (2)'!F1473-'зведена (БАЛАНС) (2)'!E1473,0)</f>
        <v>3697.2</v>
      </c>
    </row>
    <row r="1474" spans="1:6" x14ac:dyDescent="0.25">
      <c r="A1474" s="38">
        <v>23</v>
      </c>
      <c r="B1474" s="34" t="s">
        <v>984</v>
      </c>
      <c r="C1474" s="18" t="s">
        <v>502</v>
      </c>
      <c r="D1474" s="32" t="s">
        <v>3133</v>
      </c>
      <c r="E1474" s="5">
        <f>IF('зведена (БАЛАНС) (2)'!E1474&gt;'зведена (БАЛАНС) (2)'!F1474,'зведена (БАЛАНС) (2)'!E1474-'зведена (БАЛАНС) (2)'!F1474,0)</f>
        <v>0</v>
      </c>
      <c r="F1474" s="5">
        <f>IF('зведена (БАЛАНС) (2)'!F1474&gt;'зведена (БАЛАНС) (2)'!E1474,'зведена (БАЛАНС) (2)'!F1474-'зведена (БАЛАНС) (2)'!E1474,0)</f>
        <v>7762.5</v>
      </c>
    </row>
    <row r="1475" spans="1:6" x14ac:dyDescent="0.25">
      <c r="A1475" s="38">
        <v>23</v>
      </c>
      <c r="B1475" s="34" t="s">
        <v>983</v>
      </c>
      <c r="C1475" s="18" t="s">
        <v>503</v>
      </c>
      <c r="D1475" s="32" t="s">
        <v>3134</v>
      </c>
      <c r="E1475" s="5">
        <f>IF('зведена (БАЛАНС) (2)'!E1475&gt;'зведена (БАЛАНС) (2)'!F1475,'зведена (БАЛАНС) (2)'!E1475-'зведена (БАЛАНС) (2)'!F1475,0)</f>
        <v>0</v>
      </c>
      <c r="F1475" s="5">
        <f>IF('зведена (БАЛАНС) (2)'!F1475&gt;'зведена (БАЛАНС) (2)'!E1475,'зведена (БАЛАНС) (2)'!F1475-'зведена (БАЛАНС) (2)'!E1475,0)</f>
        <v>0</v>
      </c>
    </row>
    <row r="1476" spans="1:6" x14ac:dyDescent="0.25">
      <c r="A1476" s="38">
        <v>23</v>
      </c>
      <c r="B1476" s="34" t="s">
        <v>984</v>
      </c>
      <c r="C1476" s="18" t="s">
        <v>504</v>
      </c>
      <c r="D1476" s="32" t="s">
        <v>2577</v>
      </c>
      <c r="E1476" s="5">
        <f>IF('зведена (БАЛАНС) (2)'!E1476&gt;'зведена (БАЛАНС) (2)'!F1476,'зведена (БАЛАНС) (2)'!E1476-'зведена (БАЛАНС) (2)'!F1476,0)</f>
        <v>29502.9</v>
      </c>
      <c r="F1476" s="5">
        <f>IF('зведена (БАЛАНС) (2)'!F1476&gt;'зведена (БАЛАНС) (2)'!E1476,'зведена (БАЛАНС) (2)'!F1476-'зведена (БАЛАНС) (2)'!E1476,0)</f>
        <v>0</v>
      </c>
    </row>
    <row r="1477" spans="1:6" x14ac:dyDescent="0.25">
      <c r="A1477" s="38">
        <v>23</v>
      </c>
      <c r="B1477" s="34" t="s">
        <v>984</v>
      </c>
      <c r="C1477" s="18" t="s">
        <v>648</v>
      </c>
      <c r="D1477" s="32" t="s">
        <v>2578</v>
      </c>
      <c r="E1477" s="5">
        <f>IF('зведена (БАЛАНС) (2)'!E1477&gt;'зведена (БАЛАНС) (2)'!F1477,'зведена (БАЛАНС) (2)'!E1477-'зведена (БАЛАНС) (2)'!F1477,0)</f>
        <v>0</v>
      </c>
      <c r="F1477" s="5">
        <f>IF('зведена (БАЛАНС) (2)'!F1477&gt;'зведена (БАЛАНС) (2)'!E1477,'зведена (БАЛАНС) (2)'!F1477-'зведена (БАЛАНС) (2)'!E1477,0)</f>
        <v>5379.9</v>
      </c>
    </row>
    <row r="1478" spans="1:6" x14ac:dyDescent="0.25">
      <c r="A1478" s="38">
        <v>23</v>
      </c>
      <c r="B1478" s="34" t="s">
        <v>983</v>
      </c>
      <c r="C1478" s="18" t="s">
        <v>649</v>
      </c>
      <c r="D1478" s="32" t="s">
        <v>2579</v>
      </c>
      <c r="E1478" s="5">
        <f>IF('зведена (БАЛАНС) (2)'!E1478&gt;'зведена (БАЛАНС) (2)'!F1478,'зведена (БАЛАНС) (2)'!E1478-'зведена (БАЛАНС) (2)'!F1478,0)</f>
        <v>0</v>
      </c>
      <c r="F1478" s="5">
        <f>IF('зведена (БАЛАНС) (2)'!F1478&gt;'зведена (БАЛАНС) (2)'!E1478,'зведена (БАЛАНС) (2)'!F1478-'зведена (БАЛАНС) (2)'!E1478,0)</f>
        <v>1357.5</v>
      </c>
    </row>
    <row r="1479" spans="1:6" x14ac:dyDescent="0.25">
      <c r="A1479" s="38">
        <v>23</v>
      </c>
      <c r="B1479" s="34" t="s">
        <v>983</v>
      </c>
      <c r="C1479" s="18" t="s">
        <v>650</v>
      </c>
      <c r="D1479" s="32" t="s">
        <v>2580</v>
      </c>
      <c r="E1479" s="5">
        <f>IF('зведена (БАЛАНС) (2)'!E1479&gt;'зведена (БАЛАНС) (2)'!F1479,'зведена (БАЛАНС) (2)'!E1479-'зведена (БАЛАНС) (2)'!F1479,0)</f>
        <v>0</v>
      </c>
      <c r="F1479" s="5">
        <f>IF('зведена (БАЛАНС) (2)'!F1479&gt;'зведена (БАЛАНС) (2)'!E1479,'зведена (БАЛАНС) (2)'!F1479-'зведена (БАЛАНС) (2)'!E1479,0)</f>
        <v>4941.7</v>
      </c>
    </row>
    <row r="1480" spans="1:6" x14ac:dyDescent="0.25">
      <c r="A1480" s="38">
        <v>23</v>
      </c>
      <c r="B1480" s="34" t="s">
        <v>984</v>
      </c>
      <c r="C1480" s="18" t="s">
        <v>651</v>
      </c>
      <c r="D1480" s="32" t="s">
        <v>2581</v>
      </c>
      <c r="E1480" s="5">
        <f>IF('зведена (БАЛАНС) (2)'!E1480&gt;'зведена (БАЛАНС) (2)'!F1480,'зведена (БАЛАНС) (2)'!E1480-'зведена (БАЛАНС) (2)'!F1480,0)</f>
        <v>128.9</v>
      </c>
      <c r="F1480" s="5">
        <f>IF('зведена (БАЛАНС) (2)'!F1480&gt;'зведена (БАЛАНС) (2)'!E1480,'зведена (БАЛАНС) (2)'!F1480-'зведена (БАЛАНС) (2)'!E1480,0)</f>
        <v>0</v>
      </c>
    </row>
    <row r="1481" spans="1:6" x14ac:dyDescent="0.25">
      <c r="A1481" s="38">
        <v>23</v>
      </c>
      <c r="B1481" s="34" t="s">
        <v>984</v>
      </c>
      <c r="C1481" s="18" t="s">
        <v>652</v>
      </c>
      <c r="D1481" s="32" t="s">
        <v>2582</v>
      </c>
      <c r="E1481" s="5">
        <f>IF('зведена (БАЛАНС) (2)'!E1481&gt;'зведена (БАЛАНС) (2)'!F1481,'зведена (БАЛАНС) (2)'!E1481-'зведена (БАЛАНС) (2)'!F1481,0)</f>
        <v>0</v>
      </c>
      <c r="F1481" s="5">
        <f>IF('зведена (БАЛАНС) (2)'!F1481&gt;'зведена (БАЛАНС) (2)'!E1481,'зведена (БАЛАНС) (2)'!F1481-'зведена (БАЛАНС) (2)'!E1481,0)</f>
        <v>1707.5</v>
      </c>
    </row>
    <row r="1482" spans="1:6" x14ac:dyDescent="0.25">
      <c r="A1482" s="38">
        <v>23</v>
      </c>
      <c r="B1482" s="34" t="s">
        <v>984</v>
      </c>
      <c r="C1482" s="18" t="s">
        <v>653</v>
      </c>
      <c r="D1482" s="32" t="s">
        <v>3135</v>
      </c>
      <c r="E1482" s="5">
        <f>IF('зведена (БАЛАНС) (2)'!E1482&gt;'зведена (БАЛАНС) (2)'!F1482,'зведена (БАЛАНС) (2)'!E1482-'зведена (БАЛАНС) (2)'!F1482,0)</f>
        <v>304</v>
      </c>
      <c r="F1482" s="5">
        <f>IF('зведена (БАЛАНС) (2)'!F1482&gt;'зведена (БАЛАНС) (2)'!E1482,'зведена (БАЛАНС) (2)'!F1482-'зведена (БАЛАНС) (2)'!E1482,0)</f>
        <v>0</v>
      </c>
    </row>
    <row r="1483" spans="1:6" x14ac:dyDescent="0.25">
      <c r="A1483" s="38">
        <v>23</v>
      </c>
      <c r="B1483" s="34" t="s">
        <v>984</v>
      </c>
      <c r="C1483" s="18" t="s">
        <v>654</v>
      </c>
      <c r="D1483" s="32" t="s">
        <v>2584</v>
      </c>
      <c r="E1483" s="5">
        <f>IF('зведена (БАЛАНС) (2)'!E1483&gt;'зведена (БАЛАНС) (2)'!F1483,'зведена (БАЛАНС) (2)'!E1483-'зведена (БАЛАНС) (2)'!F1483,0)</f>
        <v>0</v>
      </c>
      <c r="F1483" s="5">
        <f>IF('зведена (БАЛАНС) (2)'!F1483&gt;'зведена (БАЛАНС) (2)'!E1483,'зведена (БАЛАНС) (2)'!F1483-'зведена (БАЛАНС) (2)'!E1483,0)</f>
        <v>1325.5</v>
      </c>
    </row>
    <row r="1484" spans="1:6" x14ac:dyDescent="0.25">
      <c r="A1484" s="38">
        <v>23</v>
      </c>
      <c r="B1484" s="34" t="s">
        <v>984</v>
      </c>
      <c r="C1484" s="18" t="s">
        <v>655</v>
      </c>
      <c r="D1484" s="32" t="s">
        <v>2585</v>
      </c>
      <c r="E1484" s="5">
        <f>IF('зведена (БАЛАНС) (2)'!E1484&gt;'зведена (БАЛАНС) (2)'!F1484,'зведена (БАЛАНС) (2)'!E1484-'зведена (БАЛАНС) (2)'!F1484,0)</f>
        <v>0</v>
      </c>
      <c r="F1484" s="5">
        <f>IF('зведена (БАЛАНС) (2)'!F1484&gt;'зведена (БАЛАНС) (2)'!E1484,'зведена (БАЛАНС) (2)'!F1484-'зведена (БАЛАНС) (2)'!E1484,0)</f>
        <v>2612.1999999999998</v>
      </c>
    </row>
    <row r="1485" spans="1:6" x14ac:dyDescent="0.25">
      <c r="A1485" s="38">
        <v>23</v>
      </c>
      <c r="B1485" s="34" t="s">
        <v>984</v>
      </c>
      <c r="C1485" s="18" t="s">
        <v>656</v>
      </c>
      <c r="D1485" s="32" t="s">
        <v>2586</v>
      </c>
      <c r="E1485" s="5">
        <f>IF('зведена (БАЛАНС) (2)'!E1485&gt;'зведена (БАЛАНС) (2)'!F1485,'зведена (БАЛАНС) (2)'!E1485-'зведена (БАЛАНС) (2)'!F1485,0)</f>
        <v>0</v>
      </c>
      <c r="F1485" s="5">
        <f>IF('зведена (БАЛАНС) (2)'!F1485&gt;'зведена (БАЛАНС) (2)'!E1485,'зведена (БАЛАНС) (2)'!F1485-'зведена (БАЛАНС) (2)'!E1485,0)</f>
        <v>2176.1999999999998</v>
      </c>
    </row>
    <row r="1486" spans="1:6" x14ac:dyDescent="0.25">
      <c r="A1486" s="38">
        <v>23</v>
      </c>
      <c r="B1486" s="34" t="s">
        <v>984</v>
      </c>
      <c r="C1486" s="18" t="s">
        <v>657</v>
      </c>
      <c r="D1486" s="32" t="s">
        <v>2587</v>
      </c>
      <c r="E1486" s="5">
        <f>IF('зведена (БАЛАНС) (2)'!E1486&gt;'зведена (БАЛАНС) (2)'!F1486,'зведена (БАЛАНС) (2)'!E1486-'зведена (БАЛАНС) (2)'!F1486,0)</f>
        <v>230.1</v>
      </c>
      <c r="F1486" s="5">
        <f>IF('зведена (БАЛАНС) (2)'!F1486&gt;'зведена (БАЛАНС) (2)'!E1486,'зведена (БАЛАНС) (2)'!F1486-'зведена (БАЛАНС) (2)'!E1486,0)</f>
        <v>0</v>
      </c>
    </row>
    <row r="1487" spans="1:6" x14ac:dyDescent="0.25">
      <c r="A1487" s="38">
        <v>23</v>
      </c>
      <c r="B1487" s="34" t="s">
        <v>984</v>
      </c>
      <c r="C1487" s="18" t="s">
        <v>722</v>
      </c>
      <c r="D1487" s="32" t="s">
        <v>1631</v>
      </c>
      <c r="E1487" s="5">
        <f>IF('зведена (БАЛАНС) (2)'!E1487&gt;'зведена (БАЛАНС) (2)'!F1487,'зведена (БАЛАНС) (2)'!E1487-'зведена (БАЛАНС) (2)'!F1487,0)</f>
        <v>0</v>
      </c>
      <c r="F1487" s="5">
        <f>IF('зведена (БАЛАНС) (2)'!F1487&gt;'зведена (БАЛАНС) (2)'!E1487,'зведена (БАЛАНС) (2)'!F1487-'зведена (БАЛАНС) (2)'!E1487,0)</f>
        <v>2909.6</v>
      </c>
    </row>
    <row r="1488" spans="1:6" x14ac:dyDescent="0.25">
      <c r="A1488" s="38">
        <v>23</v>
      </c>
      <c r="B1488" s="34" t="s">
        <v>985</v>
      </c>
      <c r="C1488" s="18" t="s">
        <v>723</v>
      </c>
      <c r="D1488" s="32" t="s">
        <v>2588</v>
      </c>
      <c r="E1488" s="5">
        <f>IF('зведена (БАЛАНС) (2)'!E1488&gt;'зведена (БАЛАНС) (2)'!F1488,'зведена (БАЛАНС) (2)'!E1488-'зведена (БАЛАНС) (2)'!F1488,0)</f>
        <v>0</v>
      </c>
      <c r="F1488" s="5">
        <f>IF('зведена (БАЛАНС) (2)'!F1488&gt;'зведена (БАЛАНС) (2)'!E1488,'зведена (БАЛАНС) (2)'!F1488-'зведена (БАЛАНС) (2)'!E1488,0)</f>
        <v>1479</v>
      </c>
    </row>
    <row r="1489" spans="1:6" x14ac:dyDescent="0.25">
      <c r="A1489" s="38">
        <v>23</v>
      </c>
      <c r="B1489" s="34" t="s">
        <v>984</v>
      </c>
      <c r="C1489" s="18">
        <v>23527000000</v>
      </c>
      <c r="D1489" s="32" t="s">
        <v>2589</v>
      </c>
      <c r="E1489" s="5">
        <f>IF('зведена (БАЛАНС) (2)'!E1489&gt;'зведена (БАЛАНС) (2)'!F1489,'зведена (БАЛАНС) (2)'!E1489-'зведена (БАЛАНС) (2)'!F1489,0)</f>
        <v>0</v>
      </c>
      <c r="F1489" s="5">
        <f>IF('зведена (БАЛАНС) (2)'!F1489&gt;'зведена (БАЛАНС) (2)'!E1489,'зведена (БАЛАНС) (2)'!F1489-'зведена (БАЛАНС) (2)'!E1489,0)</f>
        <v>0</v>
      </c>
    </row>
    <row r="1490" spans="1:6" x14ac:dyDescent="0.25">
      <c r="A1490" s="38">
        <v>23</v>
      </c>
      <c r="B1490" s="34" t="s">
        <v>984</v>
      </c>
      <c r="C1490" s="18">
        <v>23529000000</v>
      </c>
      <c r="D1490" s="32" t="s">
        <v>2590</v>
      </c>
      <c r="E1490" s="5">
        <f>IF('зведена (БАЛАНС) (2)'!E1490&gt;'зведена (БАЛАНС) (2)'!F1490,'зведена (БАЛАНС) (2)'!E1490-'зведена (БАЛАНС) (2)'!F1490,0)</f>
        <v>0</v>
      </c>
      <c r="F1490" s="5">
        <f>IF('зведена (БАЛАНС) (2)'!F1490&gt;'зведена (БАЛАНС) (2)'!E1490,'зведена (БАЛАНС) (2)'!F1490-'зведена (БАЛАНС) (2)'!E1490,0)</f>
        <v>3535.2</v>
      </c>
    </row>
    <row r="1491" spans="1:6" x14ac:dyDescent="0.25">
      <c r="A1491" s="38">
        <v>23</v>
      </c>
      <c r="B1491" s="34" t="s">
        <v>984</v>
      </c>
      <c r="C1491" s="18">
        <v>23530000000</v>
      </c>
      <c r="D1491" s="32" t="s">
        <v>2591</v>
      </c>
      <c r="E1491" s="5">
        <f>IF('зведена (БАЛАНС) (2)'!E1491&gt;'зведена (БАЛАНС) (2)'!F1491,'зведена (БАЛАНС) (2)'!E1491-'зведена (БАЛАНС) (2)'!F1491,0)</f>
        <v>0</v>
      </c>
      <c r="F1491" s="5">
        <f>IF('зведена (БАЛАНС) (2)'!F1491&gt;'зведена (БАЛАНС) (2)'!E1491,'зведена (БАЛАНС) (2)'!F1491-'зведена (БАЛАНС) (2)'!E1491,0)</f>
        <v>0</v>
      </c>
    </row>
    <row r="1492" spans="1:6" x14ac:dyDescent="0.25">
      <c r="A1492" s="38">
        <v>23</v>
      </c>
      <c r="B1492" s="34" t="s">
        <v>984</v>
      </c>
      <c r="C1492" s="18">
        <v>23531000000</v>
      </c>
      <c r="D1492" s="32" t="s">
        <v>2592</v>
      </c>
      <c r="E1492" s="5">
        <f>IF('зведена (БАЛАНС) (2)'!E1492&gt;'зведена (БАЛАНС) (2)'!F1492,'зведена (БАЛАНС) (2)'!E1492-'зведена (БАЛАНС) (2)'!F1492,0)</f>
        <v>0</v>
      </c>
      <c r="F1492" s="5">
        <f>IF('зведена (БАЛАНС) (2)'!F1492&gt;'зведена (БАЛАНС) (2)'!E1492,'зведена (БАЛАНС) (2)'!F1492-'зведена (БАЛАНС) (2)'!E1492,0)</f>
        <v>967.7</v>
      </c>
    </row>
    <row r="1493" spans="1:6" x14ac:dyDescent="0.25">
      <c r="A1493" s="38">
        <v>23</v>
      </c>
      <c r="B1493" s="34" t="s">
        <v>984</v>
      </c>
      <c r="C1493" s="18">
        <v>23532000000</v>
      </c>
      <c r="D1493" s="32" t="s">
        <v>2593</v>
      </c>
      <c r="E1493" s="5">
        <f>IF('зведена (БАЛАНС) (2)'!E1493&gt;'зведена (БАЛАНС) (2)'!F1493,'зведена (БАЛАНС) (2)'!E1493-'зведена (БАЛАНС) (2)'!F1493,0)</f>
        <v>0</v>
      </c>
      <c r="F1493" s="5">
        <f>IF('зведена (БАЛАНС) (2)'!F1493&gt;'зведена (БАЛАНС) (2)'!E1493,'зведена (БАЛАНС) (2)'!F1493-'зведена (БАЛАНС) (2)'!E1493,0)</f>
        <v>222</v>
      </c>
    </row>
    <row r="1494" spans="1:6" x14ac:dyDescent="0.25">
      <c r="A1494" s="38">
        <v>23</v>
      </c>
      <c r="B1494" s="34" t="s">
        <v>985</v>
      </c>
      <c r="C1494" s="18">
        <v>23533000000</v>
      </c>
      <c r="D1494" s="32" t="s">
        <v>1864</v>
      </c>
      <c r="E1494" s="5">
        <f>IF('зведена (БАЛАНС) (2)'!E1494&gt;'зведена (БАЛАНС) (2)'!F1494,'зведена (БАЛАНС) (2)'!E1494-'зведена (БАЛАНС) (2)'!F1494,0)</f>
        <v>0</v>
      </c>
      <c r="F1494" s="5">
        <f>IF('зведена (БАЛАНС) (2)'!F1494&gt;'зведена (БАЛАНС) (2)'!E1494,'зведена (БАЛАНС) (2)'!F1494-'зведена (БАЛАНС) (2)'!E1494,0)</f>
        <v>9125.2999999999993</v>
      </c>
    </row>
    <row r="1495" spans="1:6" x14ac:dyDescent="0.25">
      <c r="A1495" s="38">
        <v>23</v>
      </c>
      <c r="B1495" s="34" t="s">
        <v>984</v>
      </c>
      <c r="C1495" s="18">
        <v>23534000000</v>
      </c>
      <c r="D1495" s="32" t="s">
        <v>2594</v>
      </c>
      <c r="E1495" s="5">
        <f>IF('зведена (БАЛАНС) (2)'!E1495&gt;'зведена (БАЛАНС) (2)'!F1495,'зведена (БАЛАНС) (2)'!E1495-'зведена (БАЛАНС) (2)'!F1495,0)</f>
        <v>0</v>
      </c>
      <c r="F1495" s="5">
        <f>IF('зведена (БАЛАНС) (2)'!F1495&gt;'зведена (БАЛАНС) (2)'!E1495,'зведена (БАЛАНС) (2)'!F1495-'зведена (БАЛАНС) (2)'!E1495,0)</f>
        <v>1677.1</v>
      </c>
    </row>
    <row r="1496" spans="1:6" x14ac:dyDescent="0.25">
      <c r="A1496" s="38">
        <v>23</v>
      </c>
      <c r="B1496" s="34" t="s">
        <v>984</v>
      </c>
      <c r="C1496" s="18">
        <v>23535000000</v>
      </c>
      <c r="D1496" s="32" t="s">
        <v>2595</v>
      </c>
      <c r="E1496" s="5">
        <f>IF('зведена (БАЛАНС) (2)'!E1496&gt;'зведена (БАЛАНС) (2)'!F1496,'зведена (БАЛАНС) (2)'!E1496-'зведена (БАЛАНС) (2)'!F1496,0)</f>
        <v>0</v>
      </c>
      <c r="F1496" s="5">
        <f>IF('зведена (БАЛАНС) (2)'!F1496&gt;'зведена (БАЛАНС) (2)'!E1496,'зведена (БАЛАНС) (2)'!F1496-'зведена (БАЛАНС) (2)'!E1496,0)</f>
        <v>6832.8</v>
      </c>
    </row>
    <row r="1497" spans="1:6" x14ac:dyDescent="0.25">
      <c r="A1497" s="38">
        <v>23</v>
      </c>
      <c r="B1497" s="34" t="s">
        <v>984</v>
      </c>
      <c r="C1497" s="18">
        <v>23536000000</v>
      </c>
      <c r="D1497" s="32" t="s">
        <v>2596</v>
      </c>
      <c r="E1497" s="5">
        <f>IF('зведена (БАЛАНС) (2)'!E1497&gt;'зведена (БАЛАНС) (2)'!F1497,'зведена (БАЛАНС) (2)'!E1497-'зведена (БАЛАНС) (2)'!F1497,0)</f>
        <v>0</v>
      </c>
      <c r="F1497" s="5">
        <f>IF('зведена (БАЛАНС) (2)'!F1497&gt;'зведена (БАЛАНС) (2)'!E1497,'зведена (БАЛАНС) (2)'!F1497-'зведена (БАЛАНС) (2)'!E1497,0)</f>
        <v>4322.1000000000004</v>
      </c>
    </row>
    <row r="1498" spans="1:6" x14ac:dyDescent="0.25">
      <c r="A1498" s="38">
        <v>23</v>
      </c>
      <c r="B1498" s="34" t="s">
        <v>984</v>
      </c>
      <c r="C1498" s="18">
        <v>23538000000</v>
      </c>
      <c r="D1498" s="32" t="s">
        <v>2597</v>
      </c>
      <c r="E1498" s="5">
        <f>IF('зведена (БАЛАНС) (2)'!E1498&gt;'зведена (БАЛАНС) (2)'!F1498,'зведена (БАЛАНС) (2)'!E1498-'зведена (БАЛАНС) (2)'!F1498,0)</f>
        <v>0</v>
      </c>
      <c r="F1498" s="5">
        <f>IF('зведена (БАЛАНС) (2)'!F1498&gt;'зведена (БАЛАНС) (2)'!E1498,'зведена (БАЛАНС) (2)'!F1498-'зведена (БАЛАНС) (2)'!E1498,0)</f>
        <v>8921.2999999999993</v>
      </c>
    </row>
    <row r="1499" spans="1:6" x14ac:dyDescent="0.25">
      <c r="A1499" s="38">
        <v>23</v>
      </c>
      <c r="B1499" s="34" t="s">
        <v>984</v>
      </c>
      <c r="C1499" s="18">
        <v>23539000000</v>
      </c>
      <c r="D1499" s="32" t="s">
        <v>3136</v>
      </c>
      <c r="E1499" s="5">
        <f>IF('зведена (БАЛАНС) (2)'!E1499&gt;'зведена (БАЛАНС) (2)'!F1499,'зведена (БАЛАНС) (2)'!E1499-'зведена (БАЛАНС) (2)'!F1499,0)</f>
        <v>0</v>
      </c>
      <c r="F1499" s="5">
        <f>IF('зведена (БАЛАНС) (2)'!F1499&gt;'зведена (БАЛАНС) (2)'!E1499,'зведена (БАЛАНС) (2)'!F1499-'зведена (БАЛАНС) (2)'!E1499,0)</f>
        <v>588.29999999999995</v>
      </c>
    </row>
    <row r="1500" spans="1:6" x14ac:dyDescent="0.25">
      <c r="A1500" s="38">
        <v>23</v>
      </c>
      <c r="B1500" s="34" t="s">
        <v>985</v>
      </c>
      <c r="C1500" s="18">
        <v>23540000000</v>
      </c>
      <c r="D1500" s="32" t="s">
        <v>2599</v>
      </c>
      <c r="E1500" s="5">
        <f>IF('зведена (БАЛАНС) (2)'!E1500&gt;'зведена (БАЛАНС) (2)'!F1500,'зведена (БАЛАНС) (2)'!E1500-'зведена (БАЛАНС) (2)'!F1500,0)</f>
        <v>0</v>
      </c>
      <c r="F1500" s="5">
        <f>IF('зведена (БАЛАНС) (2)'!F1500&gt;'зведена (БАЛАНС) (2)'!E1500,'зведена (БАЛАНС) (2)'!F1500-'зведена (БАЛАНС) (2)'!E1500,0)</f>
        <v>7593.3</v>
      </c>
    </row>
    <row r="1501" spans="1:6" x14ac:dyDescent="0.25">
      <c r="A1501" s="38">
        <v>23</v>
      </c>
      <c r="B1501" s="34" t="s">
        <v>984</v>
      </c>
      <c r="C1501" s="18">
        <v>23542000000</v>
      </c>
      <c r="D1501" s="32" t="s">
        <v>2600</v>
      </c>
      <c r="E1501" s="5">
        <f>IF('зведена (БАЛАНС) (2)'!E1501&gt;'зведена (БАЛАНС) (2)'!F1501,'зведена (БАЛАНС) (2)'!E1501-'зведена (БАЛАНС) (2)'!F1501,0)</f>
        <v>0</v>
      </c>
      <c r="F1501" s="5">
        <f>IF('зведена (БАЛАНС) (2)'!F1501&gt;'зведена (БАЛАНС) (2)'!E1501,'зведена (БАЛАНС) (2)'!F1501-'зведена (БАЛАНС) (2)'!E1501,0)</f>
        <v>3944.3</v>
      </c>
    </row>
    <row r="1502" spans="1:6" x14ac:dyDescent="0.25">
      <c r="A1502" s="38">
        <v>23</v>
      </c>
      <c r="B1502" s="34" t="s">
        <v>984</v>
      </c>
      <c r="C1502" s="18">
        <v>23546000000</v>
      </c>
      <c r="D1502" s="32" t="s">
        <v>2601</v>
      </c>
      <c r="E1502" s="5">
        <f>IF('зведена (БАЛАНС) (2)'!E1502&gt;'зведена (БАЛАНС) (2)'!F1502,'зведена (БАЛАНС) (2)'!E1502-'зведена (БАЛАНС) (2)'!F1502,0)</f>
        <v>0</v>
      </c>
      <c r="F1502" s="5">
        <f>IF('зведена (БАЛАНС) (2)'!F1502&gt;'зведена (БАЛАНС) (2)'!E1502,'зведена (БАЛАНС) (2)'!F1502-'зведена (БАЛАНС) (2)'!E1502,0)</f>
        <v>8329.2000000000007</v>
      </c>
    </row>
    <row r="1503" spans="1:6" x14ac:dyDescent="0.25">
      <c r="A1503" s="38">
        <v>23</v>
      </c>
      <c r="B1503" s="34" t="s">
        <v>984</v>
      </c>
      <c r="C1503" s="18">
        <v>23547000000</v>
      </c>
      <c r="D1503" s="32" t="s">
        <v>2602</v>
      </c>
      <c r="E1503" s="5">
        <f>IF('зведена (БАЛАНС) (2)'!E1503&gt;'зведена (БАЛАНС) (2)'!F1503,'зведена (БАЛАНС) (2)'!E1503-'зведена (БАЛАНС) (2)'!F1503,0)</f>
        <v>0</v>
      </c>
      <c r="F1503" s="5">
        <f>IF('зведена (БАЛАНС) (2)'!F1503&gt;'зведена (БАЛАНС) (2)'!E1503,'зведена (БАЛАНС) (2)'!F1503-'зведена (БАЛАНС) (2)'!E1503,0)</f>
        <v>3648.7</v>
      </c>
    </row>
    <row r="1504" spans="1:6" x14ac:dyDescent="0.25">
      <c r="A1504" s="38">
        <v>23</v>
      </c>
      <c r="B1504" s="34" t="s">
        <v>984</v>
      </c>
      <c r="C1504" s="18">
        <v>23549000000</v>
      </c>
      <c r="D1504" s="32" t="s">
        <v>2603</v>
      </c>
      <c r="E1504" s="5">
        <f>IF('зведена (БАЛАНС) (2)'!E1504&gt;'зведена (БАЛАНС) (2)'!F1504,'зведена (БАЛАНС) (2)'!E1504-'зведена (БАЛАНС) (2)'!F1504,0)</f>
        <v>0</v>
      </c>
      <c r="F1504" s="5">
        <f>IF('зведена (БАЛАНС) (2)'!F1504&gt;'зведена (БАЛАНС) (2)'!E1504,'зведена (БАЛАНС) (2)'!F1504-'зведена (БАЛАНС) (2)'!E1504,0)</f>
        <v>4556.8</v>
      </c>
    </row>
    <row r="1505" spans="1:6" x14ac:dyDescent="0.25">
      <c r="A1505" s="38">
        <v>23</v>
      </c>
      <c r="B1505" s="34" t="s">
        <v>984</v>
      </c>
      <c r="C1505" s="18">
        <v>23551000000</v>
      </c>
      <c r="D1505" s="32" t="s">
        <v>2604</v>
      </c>
      <c r="E1505" s="5">
        <f>IF('зведена (БАЛАНС) (2)'!E1505&gt;'зведена (БАЛАНС) (2)'!F1505,'зведена (БАЛАНС) (2)'!E1505-'зведена (БАЛАНС) (2)'!F1505,0)</f>
        <v>0</v>
      </c>
      <c r="F1505" s="5">
        <f>IF('зведена (БАЛАНС) (2)'!F1505&gt;'зведена (БАЛАНС) (2)'!E1505,'зведена (БАЛАНС) (2)'!F1505-'зведена (БАЛАНС) (2)'!E1505,0)</f>
        <v>0</v>
      </c>
    </row>
    <row r="1506" spans="1:6" x14ac:dyDescent="0.25">
      <c r="A1506" s="38">
        <v>23</v>
      </c>
      <c r="B1506" s="34" t="s">
        <v>983</v>
      </c>
      <c r="C1506" s="18">
        <v>23552000000</v>
      </c>
      <c r="D1506" s="32" t="s">
        <v>2605</v>
      </c>
      <c r="E1506" s="5">
        <f>IF('зведена (БАЛАНС) (2)'!E1506&gt;'зведена (БАЛАНС) (2)'!F1506,'зведена (БАЛАНС) (2)'!E1506-'зведена (БАЛАНС) (2)'!F1506,0)</f>
        <v>0</v>
      </c>
      <c r="F1506" s="5">
        <f>IF('зведена (БАЛАНС) (2)'!F1506&gt;'зведена (БАЛАНС) (2)'!E1506,'зведена (БАЛАНС) (2)'!F1506-'зведена (БАЛАНС) (2)'!E1506,0)</f>
        <v>6964.6</v>
      </c>
    </row>
    <row r="1507" spans="1:6" x14ac:dyDescent="0.25">
      <c r="A1507" s="38">
        <v>23</v>
      </c>
      <c r="B1507" s="34" t="s">
        <v>984</v>
      </c>
      <c r="C1507" s="18">
        <v>23553000000</v>
      </c>
      <c r="D1507" s="32" t="s">
        <v>2069</v>
      </c>
      <c r="E1507" s="5">
        <f>IF('зведена (БАЛАНС) (2)'!E1507&gt;'зведена (БАЛАНС) (2)'!F1507,'зведена (БАЛАНС) (2)'!E1507-'зведена (БАЛАНС) (2)'!F1507,0)</f>
        <v>0</v>
      </c>
      <c r="F1507" s="5">
        <f>IF('зведена (БАЛАНС) (2)'!F1507&gt;'зведена (БАЛАНС) (2)'!E1507,'зведена (БАЛАНС) (2)'!F1507-'зведена (БАЛАНС) (2)'!E1507,0)</f>
        <v>3371</v>
      </c>
    </row>
    <row r="1508" spans="1:6" x14ac:dyDescent="0.25">
      <c r="A1508" s="38">
        <v>23</v>
      </c>
      <c r="B1508" s="34" t="s">
        <v>986</v>
      </c>
      <c r="C1508" s="18">
        <v>23554000000</v>
      </c>
      <c r="D1508" s="32" t="s">
        <v>3137</v>
      </c>
      <c r="E1508" s="5">
        <f>IF('зведена (БАЛАНС) (2)'!E1508&gt;'зведена (БАЛАНС) (2)'!F1508,'зведена (БАЛАНС) (2)'!E1508-'зведена (БАЛАНС) (2)'!F1508,0)</f>
        <v>8928.1</v>
      </c>
      <c r="F1508" s="5">
        <f>IF('зведена (БАЛАНС) (2)'!F1508&gt;'зведена (БАЛАНС) (2)'!E1508,'зведена (БАЛАНС) (2)'!F1508-'зведена (БАЛАНС) (2)'!E1508,0)</f>
        <v>0</v>
      </c>
    </row>
    <row r="1509" spans="1:6" x14ac:dyDescent="0.25">
      <c r="A1509" s="38">
        <v>23</v>
      </c>
      <c r="B1509" s="34" t="s">
        <v>985</v>
      </c>
      <c r="C1509" s="18">
        <v>23555000000</v>
      </c>
      <c r="D1509" s="32" t="s">
        <v>3138</v>
      </c>
      <c r="E1509" s="5">
        <f>IF('зведена (БАЛАНС) (2)'!E1509&gt;'зведена (БАЛАНС) (2)'!F1509,'зведена (БАЛАНС) (2)'!E1509-'зведена (БАЛАНС) (2)'!F1509,0)</f>
        <v>0</v>
      </c>
      <c r="F1509" s="5">
        <f>IF('зведена (БАЛАНС) (2)'!F1509&gt;'зведена (БАЛАНС) (2)'!E1509,'зведена (БАЛАНС) (2)'!F1509-'зведена (БАЛАНС) (2)'!E1509,0)</f>
        <v>208</v>
      </c>
    </row>
    <row r="1510" spans="1:6" x14ac:dyDescent="0.25">
      <c r="A1510" s="38">
        <v>23</v>
      </c>
      <c r="B1510" s="34" t="s">
        <v>984</v>
      </c>
      <c r="C1510" s="18">
        <v>23556000000</v>
      </c>
      <c r="D1510" s="32" t="s">
        <v>3139</v>
      </c>
      <c r="E1510" s="5">
        <f>IF('зведена (БАЛАНС) (2)'!E1510&gt;'зведена (БАЛАНС) (2)'!F1510,'зведена (БАЛАНС) (2)'!E1510-'зведена (БАЛАНС) (2)'!F1510,0)</f>
        <v>0</v>
      </c>
      <c r="F1510" s="5">
        <f>IF('зведена (БАЛАНС) (2)'!F1510&gt;'зведена (БАЛАНС) (2)'!E1510,'зведена (БАЛАНС) (2)'!F1510-'зведена (БАЛАНС) (2)'!E1510,0)</f>
        <v>610.79999999999995</v>
      </c>
    </row>
    <row r="1511" spans="1:6" x14ac:dyDescent="0.25">
      <c r="A1511" s="38">
        <v>23</v>
      </c>
      <c r="B1511" s="34" t="s">
        <v>984</v>
      </c>
      <c r="C1511" s="18">
        <v>23557000000</v>
      </c>
      <c r="D1511" s="32" t="s">
        <v>3140</v>
      </c>
      <c r="E1511" s="5">
        <f>IF('зведена (БАЛАНС) (2)'!E1511&gt;'зведена (БАЛАНС) (2)'!F1511,'зведена (БАЛАНС) (2)'!E1511-'зведена (БАЛАНС) (2)'!F1511,0)</f>
        <v>0</v>
      </c>
      <c r="F1511" s="5">
        <f>IF('зведена (БАЛАНС) (2)'!F1511&gt;'зведена (БАЛАНС) (2)'!E1511,'зведена (БАЛАНС) (2)'!F1511-'зведена (БАЛАНС) (2)'!E1511,0)</f>
        <v>1144.9000000000001</v>
      </c>
    </row>
    <row r="1512" spans="1:6" x14ac:dyDescent="0.25">
      <c r="A1512" s="38">
        <v>23</v>
      </c>
      <c r="B1512" s="34" t="s">
        <v>985</v>
      </c>
      <c r="C1512" s="18">
        <v>23558000000</v>
      </c>
      <c r="D1512" s="80" t="s">
        <v>2610</v>
      </c>
      <c r="E1512" s="5">
        <f>IF('зведена (БАЛАНС) (2)'!E1512&gt;'зведена (БАЛАНС) (2)'!F1512,'зведена (БАЛАНС) (2)'!E1512-'зведена (БАЛАНС) (2)'!F1512,0)</f>
        <v>0</v>
      </c>
      <c r="F1512" s="5">
        <f>IF('зведена (БАЛАНС) (2)'!F1512&gt;'зведена (БАЛАНС) (2)'!E1512,'зведена (БАЛАНС) (2)'!F1512-'зведена (БАЛАНС) (2)'!E1512,0)</f>
        <v>1870.8</v>
      </c>
    </row>
    <row r="1513" spans="1:6" x14ac:dyDescent="0.25">
      <c r="A1513" s="38">
        <v>23</v>
      </c>
      <c r="B1513" s="34" t="s">
        <v>984</v>
      </c>
      <c r="C1513" s="18">
        <v>23559000000</v>
      </c>
      <c r="D1513" s="80" t="s">
        <v>2611</v>
      </c>
      <c r="E1513" s="5">
        <f>IF('зведена (БАЛАНС) (2)'!E1513&gt;'зведена (БАЛАНС) (2)'!F1513,'зведена (БАЛАНС) (2)'!E1513-'зведена (БАЛАНС) (2)'!F1513,0)</f>
        <v>0</v>
      </c>
      <c r="F1513" s="5">
        <f>IF('зведена (БАЛАНС) (2)'!F1513&gt;'зведена (БАЛАНС) (2)'!E1513,'зведена (БАЛАНС) (2)'!F1513-'зведена (БАЛАНС) (2)'!E1513,0)</f>
        <v>0</v>
      </c>
    </row>
    <row r="1514" spans="1:6" x14ac:dyDescent="0.25">
      <c r="A1514" s="38">
        <v>23</v>
      </c>
      <c r="B1514" s="34" t="s">
        <v>986</v>
      </c>
      <c r="C1514" s="18">
        <v>23560000000</v>
      </c>
      <c r="D1514" s="80" t="s">
        <v>2612</v>
      </c>
      <c r="E1514" s="5">
        <f>IF('зведена (БАЛАНС) (2)'!E1514&gt;'зведена (БАЛАНС) (2)'!F1514,'зведена (БАЛАНС) (2)'!E1514-'зведена (БАЛАНС) (2)'!F1514,0)</f>
        <v>0</v>
      </c>
      <c r="F1514" s="5">
        <f>IF('зведена (БАЛАНС) (2)'!F1514&gt;'зведена (БАЛАНС) (2)'!E1514,'зведена (БАЛАНС) (2)'!F1514-'зведена (БАЛАНС) (2)'!E1514,0)</f>
        <v>29223</v>
      </c>
    </row>
    <row r="1515" spans="1:6" x14ac:dyDescent="0.25">
      <c r="A1515" s="38">
        <v>23</v>
      </c>
      <c r="B1515" s="34" t="s">
        <v>984</v>
      </c>
      <c r="C1515" s="18">
        <v>23561000000</v>
      </c>
      <c r="D1515" s="80" t="s">
        <v>2613</v>
      </c>
      <c r="E1515" s="5">
        <f>IF('зведена (БАЛАНС) (2)'!E1515&gt;'зведена (БАЛАНС) (2)'!F1515,'зведена (БАЛАНС) (2)'!E1515-'зведена (БАЛАНС) (2)'!F1515,0)</f>
        <v>0</v>
      </c>
      <c r="F1515" s="5">
        <f>IF('зведена (БАЛАНС) (2)'!F1515&gt;'зведена (БАЛАНС) (2)'!E1515,'зведена (БАЛАНС) (2)'!F1515-'зведена (БАЛАНС) (2)'!E1515,0)</f>
        <v>513.9</v>
      </c>
    </row>
    <row r="1516" spans="1:6" x14ac:dyDescent="0.25">
      <c r="A1516" s="38">
        <v>23</v>
      </c>
      <c r="B1516" s="34" t="s">
        <v>984</v>
      </c>
      <c r="C1516" s="18">
        <v>23562000000</v>
      </c>
      <c r="D1516" s="80" t="s">
        <v>2614</v>
      </c>
      <c r="E1516" s="5">
        <f>IF('зведена (БАЛАНС) (2)'!E1516&gt;'зведена (БАЛАНС) (2)'!F1516,'зведена (БАЛАНС) (2)'!E1516-'зведена (БАЛАНС) (2)'!F1516,0)</f>
        <v>0</v>
      </c>
      <c r="F1516" s="5">
        <f>IF('зведена (БАЛАНС) (2)'!F1516&gt;'зведена (БАЛАНС) (2)'!E1516,'зведена (БАЛАНС) (2)'!F1516-'зведена (БАЛАНС) (2)'!E1516,0)</f>
        <v>0</v>
      </c>
    </row>
    <row r="1517" spans="1:6" x14ac:dyDescent="0.25">
      <c r="A1517" s="38">
        <v>23</v>
      </c>
      <c r="B1517" s="34" t="s">
        <v>983</v>
      </c>
      <c r="C1517" s="18">
        <v>23563000000</v>
      </c>
      <c r="D1517" s="80" t="s">
        <v>2615</v>
      </c>
      <c r="E1517" s="5">
        <f>IF('зведена (БАЛАНС) (2)'!E1517&gt;'зведена (БАЛАНС) (2)'!F1517,'зведена (БАЛАНС) (2)'!E1517-'зведена (БАЛАНС) (2)'!F1517,0)</f>
        <v>0</v>
      </c>
      <c r="F1517" s="5">
        <f>IF('зведена (БАЛАНС) (2)'!F1517&gt;'зведена (БАЛАНС) (2)'!E1517,'зведена (БАЛАНС) (2)'!F1517-'зведена (БАЛАНС) (2)'!E1517,0)</f>
        <v>8731.4</v>
      </c>
    </row>
    <row r="1518" spans="1:6" x14ac:dyDescent="0.25">
      <c r="A1518" s="38">
        <v>23</v>
      </c>
      <c r="B1518" s="34" t="s">
        <v>983</v>
      </c>
      <c r="C1518" s="18">
        <v>23564000000</v>
      </c>
      <c r="D1518" s="80" t="s">
        <v>2616</v>
      </c>
      <c r="E1518" s="5">
        <f>IF('зведена (БАЛАНС) (2)'!E1518&gt;'зведена (БАЛАНС) (2)'!F1518,'зведена (БАЛАНС) (2)'!E1518-'зведена (БАЛАНС) (2)'!F1518,0)</f>
        <v>0</v>
      </c>
      <c r="F1518" s="5">
        <f>IF('зведена (БАЛАНС) (2)'!F1518&gt;'зведена (БАЛАНС) (2)'!E1518,'зведена (БАЛАНС) (2)'!F1518-'зведена (БАЛАНС) (2)'!E1518,0)</f>
        <v>6823.2</v>
      </c>
    </row>
    <row r="1519" spans="1:6" x14ac:dyDescent="0.25">
      <c r="A1519" s="38">
        <v>23</v>
      </c>
      <c r="B1519" s="34" t="s">
        <v>986</v>
      </c>
      <c r="C1519" s="18">
        <v>23565000000</v>
      </c>
      <c r="D1519" s="80" t="s">
        <v>2617</v>
      </c>
      <c r="E1519" s="5">
        <f>IF('зведена (БАЛАНС) (2)'!E1519&gt;'зведена (БАЛАНС) (2)'!F1519,'зведена (БАЛАНС) (2)'!E1519-'зведена (БАЛАНС) (2)'!F1519,0)</f>
        <v>0</v>
      </c>
      <c r="F1519" s="5">
        <f>IF('зведена (БАЛАНС) (2)'!F1519&gt;'зведена (БАЛАНС) (2)'!E1519,'зведена (БАЛАНС) (2)'!F1519-'зведена (БАЛАНС) (2)'!E1519,0)</f>
        <v>0</v>
      </c>
    </row>
    <row r="1520" spans="1:6" x14ac:dyDescent="0.25">
      <c r="A1520" s="38">
        <v>23</v>
      </c>
      <c r="B1520" s="34" t="s">
        <v>985</v>
      </c>
      <c r="C1520" s="18">
        <v>23566000000</v>
      </c>
      <c r="D1520" s="80" t="s">
        <v>2618</v>
      </c>
      <c r="E1520" s="5">
        <f>IF('зведена (БАЛАНС) (2)'!E1520&gt;'зведена (БАЛАНС) (2)'!F1520,'зведена (БАЛАНС) (2)'!E1520-'зведена (БАЛАНС) (2)'!F1520,0)</f>
        <v>0</v>
      </c>
      <c r="F1520" s="5">
        <f>IF('зведена (БАЛАНС) (2)'!F1520&gt;'зведена (БАЛАНС) (2)'!E1520,'зведена (БАЛАНС) (2)'!F1520-'зведена (БАЛАНС) (2)'!E1520,0)</f>
        <v>3854</v>
      </c>
    </row>
    <row r="1521" spans="1:6" ht="31.5" x14ac:dyDescent="0.25">
      <c r="A1521" s="38">
        <v>23</v>
      </c>
      <c r="B1521" s="34" t="s">
        <v>983</v>
      </c>
      <c r="C1521" s="18">
        <v>23567000000</v>
      </c>
      <c r="D1521" s="80" t="s">
        <v>2619</v>
      </c>
      <c r="E1521" s="5">
        <f>IF('зведена (БАЛАНС) (2)'!E1521&gt;'зведена (БАЛАНС) (2)'!F1521,'зведена (БАЛАНС) (2)'!E1521-'зведена (БАЛАНС) (2)'!F1521,0)</f>
        <v>0</v>
      </c>
      <c r="F1521" s="5">
        <f>IF('зведена (БАЛАНС) (2)'!F1521&gt;'зведена (БАЛАНС) (2)'!E1521,'зведена (БАЛАНС) (2)'!F1521-'зведена (БАЛАНС) (2)'!E1521,0)</f>
        <v>596.6</v>
      </c>
    </row>
    <row r="1522" spans="1:6" x14ac:dyDescent="0.25">
      <c r="A1522" s="38">
        <v>23</v>
      </c>
      <c r="B1522" s="34" t="s">
        <v>985</v>
      </c>
      <c r="C1522" s="18">
        <v>23568000000</v>
      </c>
      <c r="D1522" s="80" t="s">
        <v>2620</v>
      </c>
      <c r="E1522" s="5">
        <f>IF('зведена (БАЛАНС) (2)'!E1522&gt;'зведена (БАЛАНС) (2)'!F1522,'зведена (БАЛАНС) (2)'!E1522-'зведена (БАЛАНС) (2)'!F1522,0)</f>
        <v>0</v>
      </c>
      <c r="F1522" s="5">
        <f>IF('зведена (БАЛАНС) (2)'!F1522&gt;'зведена (БАЛАНС) (2)'!E1522,'зведена (БАЛАНС) (2)'!F1522-'зведена (БАЛАНС) (2)'!E1522,0)</f>
        <v>0</v>
      </c>
    </row>
    <row r="1523" spans="1:6" x14ac:dyDescent="0.25">
      <c r="A1523" s="38">
        <v>23</v>
      </c>
      <c r="B1523" s="34" t="s">
        <v>983</v>
      </c>
      <c r="C1523" s="18">
        <v>23569000000</v>
      </c>
      <c r="D1523" s="80" t="s">
        <v>2621</v>
      </c>
      <c r="E1523" s="5">
        <f>IF('зведена (БАЛАНС) (2)'!E1523&gt;'зведена (БАЛАНС) (2)'!F1523,'зведена (БАЛАНС) (2)'!E1523-'зведена (БАЛАНС) (2)'!F1523,0)</f>
        <v>0</v>
      </c>
      <c r="F1523" s="5">
        <f>IF('зведена (БАЛАНС) (2)'!F1523&gt;'зведена (БАЛАНС) (2)'!E1523,'зведена (БАЛАНС) (2)'!F1523-'зведена (БАЛАНС) (2)'!E1523,0)</f>
        <v>31076.1</v>
      </c>
    </row>
    <row r="1524" spans="1:6" x14ac:dyDescent="0.25">
      <c r="A1524" s="38">
        <v>23</v>
      </c>
      <c r="B1524" s="34" t="s">
        <v>984</v>
      </c>
      <c r="C1524" s="18">
        <v>23570000000</v>
      </c>
      <c r="D1524" s="80" t="s">
        <v>2622</v>
      </c>
      <c r="E1524" s="5">
        <f>IF('зведена (БАЛАНС) (2)'!E1524&gt;'зведена (БАЛАНС) (2)'!F1524,'зведена (БАЛАНС) (2)'!E1524-'зведена (БАЛАНС) (2)'!F1524,0)</f>
        <v>0</v>
      </c>
      <c r="F1524" s="5">
        <f>IF('зведена (БАЛАНС) (2)'!F1524&gt;'зведена (БАЛАНС) (2)'!E1524,'зведена (БАЛАНС) (2)'!F1524-'зведена (БАЛАНС) (2)'!E1524,0)</f>
        <v>20789.7</v>
      </c>
    </row>
    <row r="1525" spans="1:6" x14ac:dyDescent="0.25">
      <c r="A1525" s="38">
        <v>23</v>
      </c>
      <c r="B1525" s="34" t="s">
        <v>984</v>
      </c>
      <c r="C1525" s="18">
        <v>23571000000</v>
      </c>
      <c r="D1525" s="80" t="s">
        <v>2623</v>
      </c>
      <c r="E1525" s="5">
        <f>IF('зведена (БАЛАНС) (2)'!E1525&gt;'зведена (БАЛАНС) (2)'!F1525,'зведена (БАЛАНС) (2)'!E1525-'зведена (БАЛАНС) (2)'!F1525,0)</f>
        <v>0</v>
      </c>
      <c r="F1525" s="5">
        <f>IF('зведена (БАЛАНС) (2)'!F1525&gt;'зведена (БАЛАНС) (2)'!E1525,'зведена (БАЛАНС) (2)'!F1525-'зведена (БАЛАНС) (2)'!E1525,0)</f>
        <v>0</v>
      </c>
    </row>
    <row r="1526" spans="1:6" x14ac:dyDescent="0.25">
      <c r="A1526" s="38">
        <v>23</v>
      </c>
      <c r="B1526" s="34" t="s">
        <v>984</v>
      </c>
      <c r="C1526" s="18">
        <v>23572000000</v>
      </c>
      <c r="D1526" s="80" t="s">
        <v>1270</v>
      </c>
      <c r="E1526" s="5">
        <f>IF('зведена (БАЛАНС) (2)'!E1526&gt;'зведена (БАЛАНС) (2)'!F1526,'зведена (БАЛАНС) (2)'!E1526-'зведена (БАЛАНС) (2)'!F1526,0)</f>
        <v>0</v>
      </c>
      <c r="F1526" s="5">
        <f>IF('зведена (БАЛАНС) (2)'!F1526&gt;'зведена (БАЛАНС) (2)'!E1526,'зведена (БАЛАНС) (2)'!F1526-'зведена (БАЛАНС) (2)'!E1526,0)</f>
        <v>4868.3999999999996</v>
      </c>
    </row>
    <row r="1527" spans="1:6" x14ac:dyDescent="0.25">
      <c r="A1527" s="38">
        <v>23</v>
      </c>
      <c r="B1527" s="34" t="s">
        <v>986</v>
      </c>
      <c r="C1527" s="18">
        <v>23573000000</v>
      </c>
      <c r="D1527" s="80" t="s">
        <v>2624</v>
      </c>
      <c r="E1527" s="5">
        <f>IF('зведена (БАЛАНС) (2)'!E1527&gt;'зведена (БАЛАНС) (2)'!F1527,'зведена (БАЛАНС) (2)'!E1527-'зведена (БАЛАНС) (2)'!F1527,0)</f>
        <v>0</v>
      </c>
      <c r="F1527" s="5">
        <f>IF('зведена (БАЛАНС) (2)'!F1527&gt;'зведена (БАЛАНС) (2)'!E1527,'зведена (БАЛАНС) (2)'!F1527-'зведена (БАЛАНС) (2)'!E1527,0)</f>
        <v>20763.5</v>
      </c>
    </row>
    <row r="1528" spans="1:6" x14ac:dyDescent="0.25">
      <c r="A1528" s="38">
        <v>23</v>
      </c>
      <c r="B1528" s="34" t="s">
        <v>986</v>
      </c>
      <c r="C1528" s="18">
        <v>23574000000</v>
      </c>
      <c r="D1528" s="80" t="s">
        <v>2625</v>
      </c>
      <c r="E1528" s="5">
        <f>IF('зведена (БАЛАНС) (2)'!E1528&gt;'зведена (БАЛАНС) (2)'!F1528,'зведена (БАЛАНС) (2)'!E1528-'зведена (БАЛАНС) (2)'!F1528,0)</f>
        <v>0</v>
      </c>
      <c r="F1528" s="5">
        <f>IF('зведена (БАЛАНС) (2)'!F1528&gt;'зведена (БАЛАНС) (2)'!E1528,'зведена (БАЛАНС) (2)'!F1528-'зведена (БАЛАНС) (2)'!E1528,0)</f>
        <v>0</v>
      </c>
    </row>
    <row r="1529" spans="1:6" x14ac:dyDescent="0.25">
      <c r="A1529" s="38">
        <v>23</v>
      </c>
      <c r="B1529" s="34" t="s">
        <v>983</v>
      </c>
      <c r="C1529" s="18">
        <v>23575000000</v>
      </c>
      <c r="D1529" s="80" t="s">
        <v>2626</v>
      </c>
      <c r="E1529" s="5">
        <f>IF('зведена (БАЛАНС) (2)'!E1529&gt;'зведена (БАЛАНС) (2)'!F1529,'зведена (БАЛАНС) (2)'!E1529-'зведена (БАЛАНС) (2)'!F1529,0)</f>
        <v>0</v>
      </c>
      <c r="F1529" s="5">
        <f>IF('зведена (БАЛАНС) (2)'!F1529&gt;'зведена (БАЛАНС) (2)'!E1529,'зведена (БАЛАНС) (2)'!F1529-'зведена (БАЛАНС) (2)'!E1529,0)</f>
        <v>2829.5</v>
      </c>
    </row>
    <row r="1530" spans="1:6" x14ac:dyDescent="0.25">
      <c r="A1530" s="38">
        <v>23</v>
      </c>
      <c r="B1530" s="34" t="s">
        <v>986</v>
      </c>
      <c r="C1530" s="18">
        <v>23576000000</v>
      </c>
      <c r="D1530" s="80" t="s">
        <v>2627</v>
      </c>
      <c r="E1530" s="5">
        <f>IF('зведена (БАЛАНС) (2)'!E1530&gt;'зведена (БАЛАНС) (2)'!F1530,'зведена (БАЛАНС) (2)'!E1530-'зведена (БАЛАНС) (2)'!F1530,0)</f>
        <v>112508.6</v>
      </c>
      <c r="F1530" s="5">
        <f>IF('зведена (БАЛАНС) (2)'!F1530&gt;'зведена (БАЛАНС) (2)'!E1530,'зведена (БАЛАНС) (2)'!F1530-'зведена (БАЛАНС) (2)'!E1530,0)</f>
        <v>0</v>
      </c>
    </row>
    <row r="1531" spans="1:6" x14ac:dyDescent="0.25">
      <c r="A1531" s="38">
        <v>23</v>
      </c>
      <c r="B1531" s="34" t="s">
        <v>985</v>
      </c>
      <c r="C1531" s="18">
        <v>23577000000</v>
      </c>
      <c r="D1531" s="80" t="s">
        <v>2628</v>
      </c>
      <c r="E1531" s="5">
        <f>IF('зведена (БАЛАНС) (2)'!E1531&gt;'зведена (БАЛАНС) (2)'!F1531,'зведена (БАЛАНС) (2)'!E1531-'зведена (БАЛАНС) (2)'!F1531,0)</f>
        <v>0</v>
      </c>
      <c r="F1531" s="5">
        <f>IF('зведена (БАЛАНС) (2)'!F1531&gt;'зведена (БАЛАНС) (2)'!E1531,'зведена (БАЛАНС) (2)'!F1531-'зведена (БАЛАНС) (2)'!E1531,0)</f>
        <v>0</v>
      </c>
    </row>
    <row r="1532" spans="1:6" x14ac:dyDescent="0.25">
      <c r="A1532" s="38">
        <v>23</v>
      </c>
      <c r="B1532" s="34" t="s">
        <v>984</v>
      </c>
      <c r="C1532" s="18">
        <v>23578000000</v>
      </c>
      <c r="D1532" s="80" t="s">
        <v>2843</v>
      </c>
      <c r="E1532" s="5">
        <f>IF('зведена (БАЛАНС) (2)'!E1532&gt;'зведена (БАЛАНС) (2)'!F1532,'зведена (БАЛАНС) (2)'!E1532-'зведена (БАЛАНС) (2)'!F1532,0)</f>
        <v>0</v>
      </c>
      <c r="F1532" s="5">
        <f>IF('зведена (БАЛАНС) (2)'!F1532&gt;'зведена (БАЛАНС) (2)'!E1532,'зведена (БАЛАНС) (2)'!F1532-'зведена (БАЛАНС) (2)'!E1532,0)</f>
        <v>8786.4</v>
      </c>
    </row>
    <row r="1533" spans="1:6" x14ac:dyDescent="0.25">
      <c r="A1533" s="36">
        <v>24</v>
      </c>
      <c r="B1533" s="17" t="s">
        <v>7</v>
      </c>
      <c r="C1533" s="17" t="s">
        <v>823</v>
      </c>
      <c r="D1533" s="11" t="s">
        <v>25</v>
      </c>
      <c r="E1533" s="11">
        <f>E1534+E1535+E1539</f>
        <v>2673</v>
      </c>
      <c r="F1533" s="11">
        <f>F1534+F1535+F1539</f>
        <v>1128347.6999999997</v>
      </c>
    </row>
    <row r="1534" spans="1:6" x14ac:dyDescent="0.25">
      <c r="A1534" s="38">
        <v>24</v>
      </c>
      <c r="B1534" s="34" t="s">
        <v>6</v>
      </c>
      <c r="C1534" s="18" t="s">
        <v>214</v>
      </c>
      <c r="D1534" s="32" t="s">
        <v>863</v>
      </c>
      <c r="E1534" s="5">
        <f>IF('зведена (БАЛАНС) (2)'!E1534&gt;'зведена (БАЛАНС) (2)'!F1534,'зведена (БАЛАНС) (2)'!E1534-'зведена (БАЛАНС) (2)'!F1534,0)</f>
        <v>0</v>
      </c>
      <c r="F1534" s="5">
        <f>IF('зведена (БАЛАНС) (2)'!F1534&gt;'зведена (БАЛАНС) (2)'!E1534,'зведена (БАЛАНС) (2)'!F1534-'зведена (БАЛАНС) (2)'!E1534,0)</f>
        <v>241244.2</v>
      </c>
    </row>
    <row r="1535" spans="1:6" x14ac:dyDescent="0.25">
      <c r="A1535" s="37">
        <v>24</v>
      </c>
      <c r="B1535" s="19" t="s">
        <v>5</v>
      </c>
      <c r="C1535" s="19" t="s">
        <v>824</v>
      </c>
      <c r="D1535" s="7" t="s">
        <v>2817</v>
      </c>
      <c r="E1535" s="7">
        <f>SUM(E1536:E1538)</f>
        <v>0</v>
      </c>
      <c r="F1535" s="7">
        <f>SUM(F1536:F1538)</f>
        <v>0</v>
      </c>
    </row>
    <row r="1536" spans="1:6" x14ac:dyDescent="0.25">
      <c r="A1536" s="38">
        <v>24</v>
      </c>
      <c r="B1536" s="34" t="s">
        <v>4</v>
      </c>
      <c r="C1536" s="18" t="s">
        <v>2762</v>
      </c>
      <c r="D1536" s="32" t="s">
        <v>2763</v>
      </c>
      <c r="E1536" s="5">
        <f>IF('зведена (БАЛАНС) (2)'!E1536&gt;'зведена (БАЛАНС) (2)'!F1536,'зведена (БАЛАНС) (2)'!E1536-'зведена (БАЛАНС) (2)'!F1536,0)</f>
        <v>0</v>
      </c>
      <c r="F1536" s="5">
        <f>IF('зведена (БАЛАНС) (2)'!F1536&gt;'зведена (БАЛАНС) (2)'!E1536,'зведена (БАЛАНС) (2)'!F1536-'зведена (БАЛАНС) (2)'!E1536,0)</f>
        <v>0</v>
      </c>
    </row>
    <row r="1537" spans="1:6" x14ac:dyDescent="0.25">
      <c r="A1537" s="38">
        <v>24</v>
      </c>
      <c r="B1537" s="34" t="s">
        <v>4</v>
      </c>
      <c r="C1537" s="18" t="s">
        <v>2764</v>
      </c>
      <c r="D1537" s="32" t="s">
        <v>2821</v>
      </c>
      <c r="E1537" s="5">
        <f>IF('зведена (БАЛАНС) (2)'!E1537&gt;'зведена (БАЛАНС) (2)'!F1537,'зведена (БАЛАНС) (2)'!E1537-'зведена (БАЛАНС) (2)'!F1537,0)</f>
        <v>0</v>
      </c>
      <c r="F1537" s="5">
        <f>IF('зведена (БАЛАНС) (2)'!F1537&gt;'зведена (БАЛАНС) (2)'!E1537,'зведена (БАЛАНС) (2)'!F1537-'зведена (БАЛАНС) (2)'!E1537,0)</f>
        <v>0</v>
      </c>
    </row>
    <row r="1538" spans="1:6" x14ac:dyDescent="0.25">
      <c r="A1538" s="38">
        <v>24</v>
      </c>
      <c r="B1538" s="34" t="s">
        <v>4</v>
      </c>
      <c r="C1538" s="18">
        <v>24312200000</v>
      </c>
      <c r="D1538" s="32" t="s">
        <v>887</v>
      </c>
      <c r="E1538" s="5">
        <f>IF('зведена (БАЛАНС) (2)'!E1538&gt;'зведена (БАЛАНС) (2)'!F1538,'зведена (БАЛАНС) (2)'!E1538-'зведена (БАЛАНС) (2)'!F1538,0)</f>
        <v>0</v>
      </c>
      <c r="F1538" s="5">
        <f>IF('зведена (БАЛАНС) (2)'!F1538&gt;'зведена (БАЛАНС) (2)'!E1538,'зведена (БАЛАНС) (2)'!F1538-'зведена (БАЛАНС) (2)'!E1538,0)</f>
        <v>0</v>
      </c>
    </row>
    <row r="1539" spans="1:6" x14ac:dyDescent="0.25">
      <c r="A1539" s="37">
        <v>24</v>
      </c>
      <c r="B1539" s="19" t="s">
        <v>28</v>
      </c>
      <c r="C1539" s="19" t="s">
        <v>825</v>
      </c>
      <c r="D1539" s="20" t="s">
        <v>2790</v>
      </c>
      <c r="E1539" s="7">
        <f>SUM(E1540:E1591)</f>
        <v>2673</v>
      </c>
      <c r="F1539" s="7">
        <f>SUM(F1540:F1591)</f>
        <v>887103.49999999965</v>
      </c>
    </row>
    <row r="1540" spans="1:6" x14ac:dyDescent="0.25">
      <c r="A1540" s="38">
        <v>24</v>
      </c>
      <c r="B1540" s="34" t="s">
        <v>984</v>
      </c>
      <c r="C1540" s="18" t="s">
        <v>215</v>
      </c>
      <c r="D1540" s="32" t="s">
        <v>2629</v>
      </c>
      <c r="E1540" s="5">
        <f>IF('зведена (БАЛАНС) (2)'!E1540&gt;'зведена (БАЛАНС) (2)'!F1540,'зведена (БАЛАНС) (2)'!E1540-'зведена (БАЛАНС) (2)'!F1540,0)</f>
        <v>0</v>
      </c>
      <c r="F1540" s="5">
        <f>IF('зведена (БАЛАНС) (2)'!F1540&gt;'зведена (БАЛАНС) (2)'!E1540,'зведена (БАЛАНС) (2)'!F1540-'зведена (БАЛАНС) (2)'!E1540,0)</f>
        <v>7907</v>
      </c>
    </row>
    <row r="1541" spans="1:6" x14ac:dyDescent="0.25">
      <c r="A1541" s="38">
        <v>24</v>
      </c>
      <c r="B1541" s="34" t="s">
        <v>984</v>
      </c>
      <c r="C1541" s="18" t="s">
        <v>216</v>
      </c>
      <c r="D1541" s="32" t="s">
        <v>2630</v>
      </c>
      <c r="E1541" s="5">
        <f>IF('зведена (БАЛАНС) (2)'!E1541&gt;'зведена (БАЛАНС) (2)'!F1541,'зведена (БАЛАНС) (2)'!E1541-'зведена (БАЛАНС) (2)'!F1541,0)</f>
        <v>0</v>
      </c>
      <c r="F1541" s="5">
        <f>IF('зведена (БАЛАНС) (2)'!F1541&gt;'зведена (БАЛАНС) (2)'!E1541,'зведена (БАЛАНС) (2)'!F1541-'зведена (БАЛАНС) (2)'!E1541,0)</f>
        <v>26987.3</v>
      </c>
    </row>
    <row r="1542" spans="1:6" x14ac:dyDescent="0.25">
      <c r="A1542" s="38">
        <v>24</v>
      </c>
      <c r="B1542" s="34" t="s">
        <v>984</v>
      </c>
      <c r="C1542" s="18" t="s">
        <v>269</v>
      </c>
      <c r="D1542" s="32" t="s">
        <v>2631</v>
      </c>
      <c r="E1542" s="5">
        <f>IF('зведена (БАЛАНС) (2)'!E1542&gt;'зведена (БАЛАНС) (2)'!F1542,'зведена (БАЛАНС) (2)'!E1542-'зведена (БАЛАНС) (2)'!F1542,0)</f>
        <v>0</v>
      </c>
      <c r="F1542" s="5">
        <f>IF('зведена (БАЛАНС) (2)'!F1542&gt;'зведена (БАЛАНС) (2)'!E1542,'зведена (БАЛАНС) (2)'!F1542-'зведена (БАЛАНС) (2)'!E1542,0)</f>
        <v>11897.4</v>
      </c>
    </row>
    <row r="1543" spans="1:6" x14ac:dyDescent="0.25">
      <c r="A1543" s="38">
        <v>24</v>
      </c>
      <c r="B1543" s="34" t="s">
        <v>985</v>
      </c>
      <c r="C1543" s="18" t="s">
        <v>270</v>
      </c>
      <c r="D1543" s="32" t="s">
        <v>3141</v>
      </c>
      <c r="E1543" s="5">
        <f>IF('зведена (БАЛАНС) (2)'!E1543&gt;'зведена (БАЛАНС) (2)'!F1543,'зведена (БАЛАНС) (2)'!E1543-'зведена (БАЛАНС) (2)'!F1543,0)</f>
        <v>0</v>
      </c>
      <c r="F1543" s="5">
        <f>IF('зведена (БАЛАНС) (2)'!F1543&gt;'зведена (БАЛАНС) (2)'!E1543,'зведена (БАЛАНС) (2)'!F1543-'зведена (БАЛАНС) (2)'!E1543,0)</f>
        <v>13736.1</v>
      </c>
    </row>
    <row r="1544" spans="1:6" x14ac:dyDescent="0.25">
      <c r="A1544" s="38">
        <v>24</v>
      </c>
      <c r="B1544" s="34" t="s">
        <v>984</v>
      </c>
      <c r="C1544" s="18" t="s">
        <v>271</v>
      </c>
      <c r="D1544" s="32" t="s">
        <v>2633</v>
      </c>
      <c r="E1544" s="5">
        <f>IF('зведена (БАЛАНС) (2)'!E1544&gt;'зведена (БАЛАНС) (2)'!F1544,'зведена (БАЛАНС) (2)'!E1544-'зведена (БАЛАНС) (2)'!F1544,0)</f>
        <v>0</v>
      </c>
      <c r="F1544" s="5">
        <f>IF('зведена (БАЛАНС) (2)'!F1544&gt;'зведена (БАЛАНС) (2)'!E1544,'зведена (БАЛАНС) (2)'!F1544-'зведена (БАЛАНС) (2)'!E1544,0)</f>
        <v>27592.3</v>
      </c>
    </row>
    <row r="1545" spans="1:6" x14ac:dyDescent="0.25">
      <c r="A1545" s="38">
        <v>24</v>
      </c>
      <c r="B1545" s="34" t="s">
        <v>984</v>
      </c>
      <c r="C1545" s="18" t="s">
        <v>272</v>
      </c>
      <c r="D1545" s="32" t="s">
        <v>2634</v>
      </c>
      <c r="E1545" s="5">
        <f>IF('зведена (БАЛАНС) (2)'!E1545&gt;'зведена (БАЛАНС) (2)'!F1545,'зведена (БАЛАНС) (2)'!E1545-'зведена (БАЛАНС) (2)'!F1545,0)</f>
        <v>0</v>
      </c>
      <c r="F1545" s="5">
        <f>IF('зведена (БАЛАНС) (2)'!F1545&gt;'зведена (БАЛАНС) (2)'!E1545,'зведена (БАЛАНС) (2)'!F1545-'зведена (БАЛАНС) (2)'!E1545,0)</f>
        <v>17362.7</v>
      </c>
    </row>
    <row r="1546" spans="1:6" x14ac:dyDescent="0.25">
      <c r="A1546" s="38">
        <v>24</v>
      </c>
      <c r="B1546" s="34" t="s">
        <v>984</v>
      </c>
      <c r="C1546" s="18" t="s">
        <v>273</v>
      </c>
      <c r="D1546" s="32" t="s">
        <v>2635</v>
      </c>
      <c r="E1546" s="5">
        <f>IF('зведена (БАЛАНС) (2)'!E1546&gt;'зведена (БАЛАНС) (2)'!F1546,'зведена (БАЛАНС) (2)'!E1546-'зведена (БАЛАНС) (2)'!F1546,0)</f>
        <v>0</v>
      </c>
      <c r="F1546" s="5">
        <f>IF('зведена (БАЛАНС) (2)'!F1546&gt;'зведена (БАЛАНС) (2)'!E1546,'зведена (БАЛАНС) (2)'!F1546-'зведена (БАЛАНС) (2)'!E1546,0)</f>
        <v>21186.7</v>
      </c>
    </row>
    <row r="1547" spans="1:6" x14ac:dyDescent="0.25">
      <c r="A1547" s="38">
        <v>24</v>
      </c>
      <c r="B1547" s="34" t="s">
        <v>984</v>
      </c>
      <c r="C1547" s="18" t="s">
        <v>274</v>
      </c>
      <c r="D1547" s="32" t="s">
        <v>2636</v>
      </c>
      <c r="E1547" s="5">
        <f>IF('зведена (БАЛАНС) (2)'!E1547&gt;'зведена (БАЛАНС) (2)'!F1547,'зведена (БАЛАНС) (2)'!E1547-'зведена (БАЛАНС) (2)'!F1547,0)</f>
        <v>0</v>
      </c>
      <c r="F1547" s="5">
        <f>IF('зведена (БАЛАНС) (2)'!F1547&gt;'зведена (БАЛАНС) (2)'!E1547,'зведена (БАЛАНС) (2)'!F1547-'зведена (БАЛАНС) (2)'!E1547,0)</f>
        <v>12862.2</v>
      </c>
    </row>
    <row r="1548" spans="1:6" x14ac:dyDescent="0.25">
      <c r="A1548" s="38">
        <v>24</v>
      </c>
      <c r="B1548" s="34" t="s">
        <v>983</v>
      </c>
      <c r="C1548" s="18" t="s">
        <v>275</v>
      </c>
      <c r="D1548" s="32" t="s">
        <v>2637</v>
      </c>
      <c r="E1548" s="5">
        <f>IF('зведена (БАЛАНС) (2)'!E1548&gt;'зведена (БАЛАНС) (2)'!F1548,'зведена (БАЛАНС) (2)'!E1548-'зведена (БАЛАНС) (2)'!F1548,0)</f>
        <v>0</v>
      </c>
      <c r="F1548" s="5">
        <f>IF('зведена (БАЛАНС) (2)'!F1548&gt;'зведена (БАЛАНС) (2)'!E1548,'зведена (БАЛАНС) (2)'!F1548-'зведена (БАЛАНС) (2)'!E1548,0)</f>
        <v>38153</v>
      </c>
    </row>
    <row r="1549" spans="1:6" x14ac:dyDescent="0.25">
      <c r="A1549" s="38">
        <v>24</v>
      </c>
      <c r="B1549" s="34" t="s">
        <v>984</v>
      </c>
      <c r="C1549" s="18" t="s">
        <v>276</v>
      </c>
      <c r="D1549" s="32" t="s">
        <v>2638</v>
      </c>
      <c r="E1549" s="5">
        <f>IF('зведена (БАЛАНС) (2)'!E1549&gt;'зведена (БАЛАНС) (2)'!F1549,'зведена (БАЛАНС) (2)'!E1549-'зведена (БАЛАНС) (2)'!F1549,0)</f>
        <v>0</v>
      </c>
      <c r="F1549" s="5">
        <f>IF('зведена (БАЛАНС) (2)'!F1549&gt;'зведена (БАЛАНС) (2)'!E1549,'зведена (БАЛАНС) (2)'!F1549-'зведена (БАЛАНС) (2)'!E1549,0)</f>
        <v>9245.4</v>
      </c>
    </row>
    <row r="1550" spans="1:6" x14ac:dyDescent="0.25">
      <c r="A1550" s="38">
        <v>24</v>
      </c>
      <c r="B1550" s="34" t="s">
        <v>983</v>
      </c>
      <c r="C1550" s="18" t="s">
        <v>450</v>
      </c>
      <c r="D1550" s="32" t="s">
        <v>2639</v>
      </c>
      <c r="E1550" s="5">
        <f>IF('зведена (БАЛАНС) (2)'!E1550&gt;'зведена (БАЛАНС) (2)'!F1550,'зведена (БАЛАНС) (2)'!E1550-'зведена (БАЛАНС) (2)'!F1550,0)</f>
        <v>0</v>
      </c>
      <c r="F1550" s="5">
        <f>IF('зведена (БАЛАНС) (2)'!F1550&gt;'зведена (БАЛАНС) (2)'!E1550,'зведена (БАЛАНС) (2)'!F1550-'зведена (БАЛАНС) (2)'!E1550,0)</f>
        <v>21565.4</v>
      </c>
    </row>
    <row r="1551" spans="1:6" x14ac:dyDescent="0.25">
      <c r="A1551" s="38">
        <v>24</v>
      </c>
      <c r="B1551" s="34" t="s">
        <v>983</v>
      </c>
      <c r="C1551" s="18" t="s">
        <v>451</v>
      </c>
      <c r="D1551" s="32" t="s">
        <v>2640</v>
      </c>
      <c r="E1551" s="5">
        <f>IF('зведена (БАЛАНС) (2)'!E1551&gt;'зведена (БАЛАНС) (2)'!F1551,'зведена (БАЛАНС) (2)'!E1551-'зведена (БАЛАНС) (2)'!F1551,0)</f>
        <v>0</v>
      </c>
      <c r="F1551" s="5">
        <f>IF('зведена (БАЛАНС) (2)'!F1551&gt;'зведена (БАЛАНС) (2)'!E1551,'зведена (БАЛАНС) (2)'!F1551-'зведена (БАЛАНС) (2)'!E1551,0)</f>
        <v>14168.9</v>
      </c>
    </row>
    <row r="1552" spans="1:6" x14ac:dyDescent="0.25">
      <c r="A1552" s="38">
        <v>24</v>
      </c>
      <c r="B1552" s="34" t="s">
        <v>983</v>
      </c>
      <c r="C1552" s="18" t="s">
        <v>452</v>
      </c>
      <c r="D1552" s="32" t="s">
        <v>2641</v>
      </c>
      <c r="E1552" s="5">
        <f>IF('зведена (БАЛАНС) (2)'!E1552&gt;'зведена (БАЛАНС) (2)'!F1552,'зведена (БАЛАНС) (2)'!E1552-'зведена (БАЛАНС) (2)'!F1552,0)</f>
        <v>0</v>
      </c>
      <c r="F1552" s="5">
        <f>IF('зведена (БАЛАНС) (2)'!F1552&gt;'зведена (БАЛАНС) (2)'!E1552,'зведена (БАЛАНС) (2)'!F1552-'зведена (БАЛАНС) (2)'!E1552,0)</f>
        <v>56043.7</v>
      </c>
    </row>
    <row r="1553" spans="1:6" x14ac:dyDescent="0.25">
      <c r="A1553" s="38">
        <v>24</v>
      </c>
      <c r="B1553" s="34" t="s">
        <v>985</v>
      </c>
      <c r="C1553" s="18" t="s">
        <v>453</v>
      </c>
      <c r="D1553" s="32" t="s">
        <v>2642</v>
      </c>
      <c r="E1553" s="5">
        <f>IF('зведена (БАЛАНС) (2)'!E1553&gt;'зведена (БАЛАНС) (2)'!F1553,'зведена (БАЛАНС) (2)'!E1553-'зведена (БАЛАНС) (2)'!F1553,0)</f>
        <v>0</v>
      </c>
      <c r="F1553" s="5">
        <f>IF('зведена (БАЛАНС) (2)'!F1553&gt;'зведена (БАЛАНС) (2)'!E1553,'зведена (БАЛАНС) (2)'!F1553-'зведена (БАЛАНС) (2)'!E1553,0)</f>
        <v>20730.2</v>
      </c>
    </row>
    <row r="1554" spans="1:6" x14ac:dyDescent="0.25">
      <c r="A1554" s="38">
        <v>24</v>
      </c>
      <c r="B1554" s="34" t="s">
        <v>984</v>
      </c>
      <c r="C1554" s="18" t="s">
        <v>454</v>
      </c>
      <c r="D1554" s="32" t="s">
        <v>2643</v>
      </c>
      <c r="E1554" s="5">
        <f>IF('зведена (БАЛАНС) (2)'!E1554&gt;'зведена (БАЛАНС) (2)'!F1554,'зведена (БАЛАНС) (2)'!E1554-'зведена (БАЛАНС) (2)'!F1554,0)</f>
        <v>0</v>
      </c>
      <c r="F1554" s="5">
        <f>IF('зведена (БАЛАНС) (2)'!F1554&gt;'зведена (БАЛАНС) (2)'!E1554,'зведена (БАЛАНС) (2)'!F1554-'зведена (БАЛАНС) (2)'!E1554,0)</f>
        <v>9319.6</v>
      </c>
    </row>
    <row r="1555" spans="1:6" x14ac:dyDescent="0.25">
      <c r="A1555" s="38">
        <v>24</v>
      </c>
      <c r="B1555" s="34" t="s">
        <v>984</v>
      </c>
      <c r="C1555" s="18" t="s">
        <v>455</v>
      </c>
      <c r="D1555" s="32" t="s">
        <v>2644</v>
      </c>
      <c r="E1555" s="5">
        <f>IF('зведена (БАЛАНС) (2)'!E1555&gt;'зведена (БАЛАНС) (2)'!F1555,'зведена (БАЛАНС) (2)'!E1555-'зведена (БАЛАНС) (2)'!F1555,0)</f>
        <v>0</v>
      </c>
      <c r="F1555" s="5">
        <f>IF('зведена (БАЛАНС) (2)'!F1555&gt;'зведена (БАЛАНС) (2)'!E1555,'зведена (БАЛАНС) (2)'!F1555-'зведена (БАЛАНС) (2)'!E1555,0)</f>
        <v>28128.3</v>
      </c>
    </row>
    <row r="1556" spans="1:6" x14ac:dyDescent="0.25">
      <c r="A1556" s="38">
        <v>24</v>
      </c>
      <c r="B1556" s="34" t="s">
        <v>984</v>
      </c>
      <c r="C1556" s="18" t="s">
        <v>505</v>
      </c>
      <c r="D1556" s="32" t="s">
        <v>2645</v>
      </c>
      <c r="E1556" s="5">
        <f>IF('зведена (БАЛАНС) (2)'!E1556&gt;'зведена (БАЛАНС) (2)'!F1556,'зведена (БАЛАНС) (2)'!E1556-'зведена (БАЛАНС) (2)'!F1556,0)</f>
        <v>0</v>
      </c>
      <c r="F1556" s="5">
        <f>IF('зведена (БАЛАНС) (2)'!F1556&gt;'зведена (БАЛАНС) (2)'!E1556,'зведена (БАЛАНС) (2)'!F1556-'зведена (БАЛАНС) (2)'!E1556,0)</f>
        <v>8543.2000000000007</v>
      </c>
    </row>
    <row r="1557" spans="1:6" x14ac:dyDescent="0.25">
      <c r="A1557" s="38">
        <v>24</v>
      </c>
      <c r="B1557" s="34" t="s">
        <v>984</v>
      </c>
      <c r="C1557" s="18" t="s">
        <v>506</v>
      </c>
      <c r="D1557" s="32" t="s">
        <v>2834</v>
      </c>
      <c r="E1557" s="5">
        <f>IF('зведена (БАЛАНС) (2)'!E1557&gt;'зведена (БАЛАНС) (2)'!F1557,'зведена (БАЛАНС) (2)'!E1557-'зведена (БАЛАНС) (2)'!F1557,0)</f>
        <v>0</v>
      </c>
      <c r="F1557" s="5">
        <f>IF('зведена (БАЛАНС) (2)'!F1557&gt;'зведена (БАЛАНС) (2)'!E1557,'зведена (БАЛАНС) (2)'!F1557-'зведена (БАЛАНС) (2)'!E1557,0)</f>
        <v>5588.4</v>
      </c>
    </row>
    <row r="1558" spans="1:6" x14ac:dyDescent="0.25">
      <c r="A1558" s="38">
        <v>24</v>
      </c>
      <c r="B1558" s="34" t="s">
        <v>984</v>
      </c>
      <c r="C1558" s="18" t="s">
        <v>658</v>
      </c>
      <c r="D1558" s="32" t="s">
        <v>2646</v>
      </c>
      <c r="E1558" s="5">
        <f>IF('зведена (БАЛАНС) (2)'!E1558&gt;'зведена (БАЛАНС) (2)'!F1558,'зведена (БАЛАНС) (2)'!E1558-'зведена (БАЛАНС) (2)'!F1558,0)</f>
        <v>0</v>
      </c>
      <c r="F1558" s="5">
        <f>IF('зведена (БАЛАНС) (2)'!F1558&gt;'зведена (БАЛАНС) (2)'!E1558,'зведена (БАЛАНС) (2)'!F1558-'зведена (БАЛАНС) (2)'!E1558,0)</f>
        <v>23267.7</v>
      </c>
    </row>
    <row r="1559" spans="1:6" x14ac:dyDescent="0.25">
      <c r="A1559" s="38">
        <v>24</v>
      </c>
      <c r="B1559" s="34" t="s">
        <v>984</v>
      </c>
      <c r="C1559" s="18" t="s">
        <v>659</v>
      </c>
      <c r="D1559" s="32" t="s">
        <v>2647</v>
      </c>
      <c r="E1559" s="5">
        <f>IF('зведена (БАЛАНС) (2)'!E1559&gt;'зведена (БАЛАНС) (2)'!F1559,'зведена (БАЛАНС) (2)'!E1559-'зведена (БАЛАНС) (2)'!F1559,0)</f>
        <v>0</v>
      </c>
      <c r="F1559" s="5">
        <f>IF('зведена (БАЛАНС) (2)'!F1559&gt;'зведена (БАЛАНС) (2)'!E1559,'зведена (БАЛАНС) (2)'!F1559-'зведена (БАЛАНС) (2)'!E1559,0)</f>
        <v>30702.9</v>
      </c>
    </row>
    <row r="1560" spans="1:6" x14ac:dyDescent="0.25">
      <c r="A1560" s="38">
        <v>24</v>
      </c>
      <c r="B1560" s="34" t="s">
        <v>983</v>
      </c>
      <c r="C1560" s="18" t="s">
        <v>660</v>
      </c>
      <c r="D1560" s="32" t="s">
        <v>2648</v>
      </c>
      <c r="E1560" s="5">
        <f>IF('зведена (БАЛАНС) (2)'!E1560&gt;'зведена (БАЛАНС) (2)'!F1560,'зведена (БАЛАНС) (2)'!E1560-'зведена (БАЛАНС) (2)'!F1560,0)</f>
        <v>0</v>
      </c>
      <c r="F1560" s="5">
        <f>IF('зведена (БАЛАНС) (2)'!F1560&gt;'зведена (БАЛАНС) (2)'!E1560,'зведена (БАЛАНС) (2)'!F1560-'зведена (БАЛАНС) (2)'!E1560,0)</f>
        <v>16237.1</v>
      </c>
    </row>
    <row r="1561" spans="1:6" x14ac:dyDescent="0.25">
      <c r="A1561" s="38">
        <v>24</v>
      </c>
      <c r="B1561" s="34" t="s">
        <v>984</v>
      </c>
      <c r="C1561" s="18" t="s">
        <v>661</v>
      </c>
      <c r="D1561" s="32" t="s">
        <v>2649</v>
      </c>
      <c r="E1561" s="5">
        <f>IF('зведена (БАЛАНС) (2)'!E1561&gt;'зведена (БАЛАНС) (2)'!F1561,'зведена (БАЛАНС) (2)'!E1561-'зведена (БАЛАНС) (2)'!F1561,0)</f>
        <v>0</v>
      </c>
      <c r="F1561" s="5">
        <f>IF('зведена (БАЛАНС) (2)'!F1561&gt;'зведена (БАЛАНС) (2)'!E1561,'зведена (БАЛАНС) (2)'!F1561-'зведена (БАЛАНС) (2)'!E1561,0)</f>
        <v>14305.3</v>
      </c>
    </row>
    <row r="1562" spans="1:6" x14ac:dyDescent="0.25">
      <c r="A1562" s="38">
        <v>24</v>
      </c>
      <c r="B1562" s="34" t="s">
        <v>984</v>
      </c>
      <c r="C1562" s="18" t="s">
        <v>724</v>
      </c>
      <c r="D1562" s="32" t="s">
        <v>2650</v>
      </c>
      <c r="E1562" s="5">
        <f>IF('зведена (БАЛАНС) (2)'!E1562&gt;'зведена (БАЛАНС) (2)'!F1562,'зведена (БАЛАНС) (2)'!E1562-'зведена (БАЛАНС) (2)'!F1562,0)</f>
        <v>2141.1999999999998</v>
      </c>
      <c r="F1562" s="5">
        <f>IF('зведена (БАЛАНС) (2)'!F1562&gt;'зведена (БАЛАНС) (2)'!E1562,'зведена (БАЛАНС) (2)'!F1562-'зведена (БАЛАНС) (2)'!E1562,0)</f>
        <v>0</v>
      </c>
    </row>
    <row r="1563" spans="1:6" x14ac:dyDescent="0.25">
      <c r="A1563" s="38">
        <v>24</v>
      </c>
      <c r="B1563" s="34" t="s">
        <v>984</v>
      </c>
      <c r="C1563" s="18" t="s">
        <v>725</v>
      </c>
      <c r="D1563" s="32" t="s">
        <v>2651</v>
      </c>
      <c r="E1563" s="5">
        <f>IF('зведена (БАЛАНС) (2)'!E1563&gt;'зведена (БАЛАНС) (2)'!F1563,'зведена (БАЛАНС) (2)'!E1563-'зведена (БАЛАНС) (2)'!F1563,0)</f>
        <v>0</v>
      </c>
      <c r="F1563" s="5">
        <f>IF('зведена (БАЛАНС) (2)'!F1563&gt;'зведена (БАЛАНС) (2)'!E1563,'зведена (БАЛАНС) (2)'!F1563-'зведена (БАЛАНС) (2)'!E1563,0)</f>
        <v>17283.400000000001</v>
      </c>
    </row>
    <row r="1564" spans="1:6" x14ac:dyDescent="0.25">
      <c r="A1564" s="38">
        <v>24</v>
      </c>
      <c r="B1564" s="34" t="s">
        <v>985</v>
      </c>
      <c r="C1564" s="18" t="s">
        <v>726</v>
      </c>
      <c r="D1564" s="32" t="s">
        <v>2652</v>
      </c>
      <c r="E1564" s="5">
        <f>IF('зведена (БАЛАНС) (2)'!E1564&gt;'зведена (БАЛАНС) (2)'!F1564,'зведена (БАЛАНС) (2)'!E1564-'зведена (БАЛАНС) (2)'!F1564,0)</f>
        <v>0</v>
      </c>
      <c r="F1564" s="5">
        <f>IF('зведена (БАЛАНС) (2)'!F1564&gt;'зведена (БАЛАНС) (2)'!E1564,'зведена (БАЛАНС) (2)'!F1564-'зведена (БАЛАНС) (2)'!E1564,0)</f>
        <v>6566.1</v>
      </c>
    </row>
    <row r="1565" spans="1:6" x14ac:dyDescent="0.25">
      <c r="A1565" s="38">
        <v>24</v>
      </c>
      <c r="B1565" s="34" t="s">
        <v>983</v>
      </c>
      <c r="C1565" s="18" t="s">
        <v>727</v>
      </c>
      <c r="D1565" s="32" t="s">
        <v>2653</v>
      </c>
      <c r="E1565" s="5">
        <f>IF('зведена (БАЛАНС) (2)'!E1565&gt;'зведена (БАЛАНС) (2)'!F1565,'зведена (БАЛАНС) (2)'!E1565-'зведена (БАЛАНС) (2)'!F1565,0)</f>
        <v>0</v>
      </c>
      <c r="F1565" s="5">
        <f>IF('зведена (БАЛАНС) (2)'!F1565&gt;'зведена (БАЛАНС) (2)'!E1565,'зведена (БАЛАНС) (2)'!F1565-'зведена (БАЛАНС) (2)'!E1565,0)</f>
        <v>31047.599999999999</v>
      </c>
    </row>
    <row r="1566" spans="1:6" x14ac:dyDescent="0.25">
      <c r="A1566" s="38">
        <v>24</v>
      </c>
      <c r="B1566" s="34" t="s">
        <v>983</v>
      </c>
      <c r="C1566" s="18">
        <v>24527000000</v>
      </c>
      <c r="D1566" s="32" t="s">
        <v>2654</v>
      </c>
      <c r="E1566" s="5">
        <f>IF('зведена (БАЛАНС) (2)'!E1566&gt;'зведена (БАЛАНС) (2)'!F1566,'зведена (БАЛАНС) (2)'!E1566-'зведена (БАЛАНС) (2)'!F1566,0)</f>
        <v>0</v>
      </c>
      <c r="F1566" s="5">
        <f>IF('зведена (БАЛАНС) (2)'!F1566&gt;'зведена (БАЛАНС) (2)'!E1566,'зведена (БАЛАНС) (2)'!F1566-'зведена (БАЛАНС) (2)'!E1566,0)</f>
        <v>25969.7</v>
      </c>
    </row>
    <row r="1567" spans="1:6" x14ac:dyDescent="0.25">
      <c r="A1567" s="38">
        <v>24</v>
      </c>
      <c r="B1567" s="34" t="s">
        <v>983</v>
      </c>
      <c r="C1567" s="18">
        <v>24528000000</v>
      </c>
      <c r="D1567" s="32" t="s">
        <v>2655</v>
      </c>
      <c r="E1567" s="5">
        <f>IF('зведена (БАЛАНС) (2)'!E1567&gt;'зведена (БАЛАНС) (2)'!F1567,'зведена (БАЛАНС) (2)'!E1567-'зведена (БАЛАНС) (2)'!F1567,0)</f>
        <v>0</v>
      </c>
      <c r="F1567" s="5">
        <f>IF('зведена (БАЛАНС) (2)'!F1567&gt;'зведена (БАЛАНС) (2)'!E1567,'зведена (БАЛАНС) (2)'!F1567-'зведена (БАЛАНС) (2)'!E1567,0)</f>
        <v>7738.1</v>
      </c>
    </row>
    <row r="1568" spans="1:6" x14ac:dyDescent="0.25">
      <c r="A1568" s="38">
        <v>24</v>
      </c>
      <c r="B1568" s="34" t="s">
        <v>985</v>
      </c>
      <c r="C1568" s="18">
        <v>24529000000</v>
      </c>
      <c r="D1568" s="32" t="s">
        <v>2656</v>
      </c>
      <c r="E1568" s="5">
        <f>IF('зведена (БАЛАНС) (2)'!E1568&gt;'зведена (БАЛАНС) (2)'!F1568,'зведена (БАЛАНС) (2)'!E1568-'зведена (БАЛАНС) (2)'!F1568,0)</f>
        <v>0</v>
      </c>
      <c r="F1568" s="5">
        <f>IF('зведена (БАЛАНС) (2)'!F1568&gt;'зведена (БАЛАНС) (2)'!E1568,'зведена (БАЛАНС) (2)'!F1568-'зведена (БАЛАНС) (2)'!E1568,0)</f>
        <v>9733</v>
      </c>
    </row>
    <row r="1569" spans="1:6" x14ac:dyDescent="0.25">
      <c r="A1569" s="38">
        <v>24</v>
      </c>
      <c r="B1569" s="34" t="s">
        <v>984</v>
      </c>
      <c r="C1569" s="18">
        <v>24530000000</v>
      </c>
      <c r="D1569" s="32" t="s">
        <v>2657</v>
      </c>
      <c r="E1569" s="5">
        <f>IF('зведена (БАЛАНС) (2)'!E1569&gt;'зведена (БАЛАНС) (2)'!F1569,'зведена (БАЛАНС) (2)'!E1569-'зведена (БАЛАНС) (2)'!F1569,0)</f>
        <v>0</v>
      </c>
      <c r="F1569" s="5">
        <f>IF('зведена (БАЛАНС) (2)'!F1569&gt;'зведена (БАЛАНС) (2)'!E1569,'зведена (БАЛАНС) (2)'!F1569-'зведена (БАЛАНС) (2)'!E1569,0)</f>
        <v>11334.1</v>
      </c>
    </row>
    <row r="1570" spans="1:6" x14ac:dyDescent="0.25">
      <c r="A1570" s="38">
        <v>24</v>
      </c>
      <c r="B1570" s="34" t="s">
        <v>983</v>
      </c>
      <c r="C1570" s="18">
        <v>24531000000</v>
      </c>
      <c r="D1570" s="32" t="s">
        <v>2658</v>
      </c>
      <c r="E1570" s="5">
        <f>IF('зведена (БАЛАНС) (2)'!E1570&gt;'зведена (БАЛАНС) (2)'!F1570,'зведена (БАЛАНС) (2)'!E1570-'зведена (БАЛАНС) (2)'!F1570,0)</f>
        <v>0</v>
      </c>
      <c r="F1570" s="5">
        <f>IF('зведена (БАЛАНС) (2)'!F1570&gt;'зведена (БАЛАНС) (2)'!E1570,'зведена (БАЛАНС) (2)'!F1570-'зведена (БАЛАНС) (2)'!E1570,0)</f>
        <v>12171.1</v>
      </c>
    </row>
    <row r="1571" spans="1:6" x14ac:dyDescent="0.25">
      <c r="A1571" s="38">
        <v>24</v>
      </c>
      <c r="B1571" s="34" t="s">
        <v>984</v>
      </c>
      <c r="C1571" s="18">
        <v>24532000000</v>
      </c>
      <c r="D1571" s="32" t="s">
        <v>2659</v>
      </c>
      <c r="E1571" s="5">
        <f>IF('зведена (БАЛАНС) (2)'!E1571&gt;'зведена (БАЛАНС) (2)'!F1571,'зведена (БАЛАНС) (2)'!E1571-'зведена (БАЛАНС) (2)'!F1571,0)</f>
        <v>0</v>
      </c>
      <c r="F1571" s="5">
        <f>IF('зведена (БАЛАНС) (2)'!F1571&gt;'зведена (БАЛАНС) (2)'!E1571,'зведена (БАЛАНС) (2)'!F1571-'зведена (БАЛАНС) (2)'!E1571,0)</f>
        <v>17344.7</v>
      </c>
    </row>
    <row r="1572" spans="1:6" x14ac:dyDescent="0.25">
      <c r="A1572" s="38">
        <v>24</v>
      </c>
      <c r="B1572" s="34" t="s">
        <v>986</v>
      </c>
      <c r="C1572" s="18">
        <v>24533000000</v>
      </c>
      <c r="D1572" s="32" t="s">
        <v>3142</v>
      </c>
      <c r="E1572" s="5">
        <f>IF('зведена (БАЛАНС) (2)'!E1572&gt;'зведена (БАЛАНС) (2)'!F1572,'зведена (БАЛАНС) (2)'!E1572-'зведена (БАЛАНС) (2)'!F1572,0)</f>
        <v>531.79999999999995</v>
      </c>
      <c r="F1572" s="5">
        <f>IF('зведена (БАЛАНС) (2)'!F1572&gt;'зведена (БАЛАНС) (2)'!E1572,'зведена (БАЛАНС) (2)'!F1572-'зведена (БАЛАНС) (2)'!E1572,0)</f>
        <v>0</v>
      </c>
    </row>
    <row r="1573" spans="1:6" x14ac:dyDescent="0.25">
      <c r="A1573" s="38">
        <v>24</v>
      </c>
      <c r="B1573" s="34" t="s">
        <v>984</v>
      </c>
      <c r="C1573" s="18">
        <v>24534000000</v>
      </c>
      <c r="D1573" s="32" t="s">
        <v>3143</v>
      </c>
      <c r="E1573" s="5">
        <f>IF('зведена (БАЛАНС) (2)'!E1573&gt;'зведена (БАЛАНС) (2)'!F1573,'зведена (БАЛАНС) (2)'!E1573-'зведена (БАЛАНС) (2)'!F1573,0)</f>
        <v>0</v>
      </c>
      <c r="F1573" s="5">
        <f>IF('зведена (БАЛАНС) (2)'!F1573&gt;'зведена (БАЛАНС) (2)'!E1573,'зведена (БАЛАНС) (2)'!F1573-'зведена (БАЛАНС) (2)'!E1573,0)</f>
        <v>28323.599999999999</v>
      </c>
    </row>
    <row r="1574" spans="1:6" x14ac:dyDescent="0.25">
      <c r="A1574" s="38">
        <v>24</v>
      </c>
      <c r="B1574" s="34" t="s">
        <v>984</v>
      </c>
      <c r="C1574" s="18">
        <v>24535000000</v>
      </c>
      <c r="D1574" s="32" t="s">
        <v>3144</v>
      </c>
      <c r="E1574" s="5">
        <f>IF('зведена (БАЛАНС) (2)'!E1574&gt;'зведена (БАЛАНС) (2)'!F1574,'зведена (БАЛАНС) (2)'!E1574-'зведена (БАЛАНС) (2)'!F1574,0)</f>
        <v>0</v>
      </c>
      <c r="F1574" s="5">
        <f>IF('зведена (БАЛАНС) (2)'!F1574&gt;'зведена (БАЛАНС) (2)'!E1574,'зведена (БАЛАНС) (2)'!F1574-'зведена (БАЛАНС) (2)'!E1574,0)</f>
        <v>8246.7999999999993</v>
      </c>
    </row>
    <row r="1575" spans="1:6" x14ac:dyDescent="0.25">
      <c r="A1575" s="38">
        <v>24</v>
      </c>
      <c r="B1575" s="34" t="s">
        <v>984</v>
      </c>
      <c r="C1575" s="18">
        <v>24536000000</v>
      </c>
      <c r="D1575" s="32" t="s">
        <v>3145</v>
      </c>
      <c r="E1575" s="5">
        <f>IF('зведена (БАЛАНС) (2)'!E1575&gt;'зведена (БАЛАНС) (2)'!F1575,'зведена (БАЛАНС) (2)'!E1575-'зведена (БАЛАНС) (2)'!F1575,0)</f>
        <v>0</v>
      </c>
      <c r="F1575" s="5">
        <f>IF('зведена (БАЛАНС) (2)'!F1575&gt;'зведена (БАЛАНС) (2)'!E1575,'зведена (БАЛАНС) (2)'!F1575-'зведена (БАЛАНС) (2)'!E1575,0)</f>
        <v>15331.5</v>
      </c>
    </row>
    <row r="1576" spans="1:6" x14ac:dyDescent="0.25">
      <c r="A1576" s="38">
        <v>24</v>
      </c>
      <c r="B1576" s="34" t="s">
        <v>984</v>
      </c>
      <c r="C1576" s="18">
        <v>24537000000</v>
      </c>
      <c r="D1576" s="32" t="s">
        <v>3146</v>
      </c>
      <c r="E1576" s="5">
        <f>IF('зведена (БАЛАНС) (2)'!E1576&gt;'зведена (БАЛАНС) (2)'!F1576,'зведена (БАЛАНС) (2)'!E1576-'зведена (БАЛАНС) (2)'!F1576,0)</f>
        <v>0</v>
      </c>
      <c r="F1576" s="5">
        <f>IF('зведена (БАЛАНС) (2)'!F1576&gt;'зведена (БАЛАНС) (2)'!E1576,'зведена (БАЛАНС) (2)'!F1576-'зведена (БАЛАНС) (2)'!E1576,0)</f>
        <v>13670.5</v>
      </c>
    </row>
    <row r="1577" spans="1:6" x14ac:dyDescent="0.25">
      <c r="A1577" s="38">
        <v>24</v>
      </c>
      <c r="B1577" s="34" t="s">
        <v>984</v>
      </c>
      <c r="C1577" s="18">
        <v>24538000000</v>
      </c>
      <c r="D1577" s="32" t="s">
        <v>2665</v>
      </c>
      <c r="E1577" s="5">
        <f>IF('зведена (БАЛАНС) (2)'!E1577&gt;'зведена (БАЛАНС) (2)'!F1577,'зведена (БАЛАНС) (2)'!E1577-'зведена (БАЛАНС) (2)'!F1577,0)</f>
        <v>0</v>
      </c>
      <c r="F1577" s="5">
        <f>IF('зведена (БАЛАНС) (2)'!F1577&gt;'зведена (БАЛАНС) (2)'!E1577,'зведена (БАЛАНС) (2)'!F1577-'зведена (БАЛАНС) (2)'!E1577,0)</f>
        <v>14175.6</v>
      </c>
    </row>
    <row r="1578" spans="1:6" x14ac:dyDescent="0.25">
      <c r="A1578" s="38">
        <v>24</v>
      </c>
      <c r="B1578" s="34" t="s">
        <v>985</v>
      </c>
      <c r="C1578" s="18">
        <v>24539000000</v>
      </c>
      <c r="D1578" s="32" t="s">
        <v>2666</v>
      </c>
      <c r="E1578" s="5">
        <f>IF('зведена (БАЛАНС) (2)'!E1578&gt;'зведена (БАЛАНС) (2)'!F1578,'зведена (БАЛАНС) (2)'!E1578-'зведена (БАЛАНС) (2)'!F1578,0)</f>
        <v>0</v>
      </c>
      <c r="F1578" s="5">
        <f>IF('зведена (БАЛАНС) (2)'!F1578&gt;'зведена (БАЛАНС) (2)'!E1578,'зведена (БАЛАНС) (2)'!F1578-'зведена (БАЛАНС) (2)'!E1578,0)</f>
        <v>25252.2</v>
      </c>
    </row>
    <row r="1579" spans="1:6" x14ac:dyDescent="0.25">
      <c r="A1579" s="38">
        <v>24</v>
      </c>
      <c r="B1579" s="34" t="s">
        <v>984</v>
      </c>
      <c r="C1579" s="18">
        <v>24540000000</v>
      </c>
      <c r="D1579" s="32" t="s">
        <v>2667</v>
      </c>
      <c r="E1579" s="5">
        <f>IF('зведена (БАЛАНС) (2)'!E1579&gt;'зведена (БАЛАНС) (2)'!F1579,'зведена (БАЛАНС) (2)'!E1579-'зведена (БАЛАНС) (2)'!F1579,0)</f>
        <v>0</v>
      </c>
      <c r="F1579" s="5">
        <f>IF('зведена (БАЛАНС) (2)'!F1579&gt;'зведена (БАЛАНС) (2)'!E1579,'зведена (БАЛАНС) (2)'!F1579-'зведена (БАЛАНС) (2)'!E1579,0)</f>
        <v>11375.5</v>
      </c>
    </row>
    <row r="1580" spans="1:6" x14ac:dyDescent="0.25">
      <c r="A1580" s="38">
        <v>24</v>
      </c>
      <c r="B1580" s="34" t="s">
        <v>984</v>
      </c>
      <c r="C1580" s="18">
        <v>24541000000</v>
      </c>
      <c r="D1580" s="32" t="s">
        <v>2668</v>
      </c>
      <c r="E1580" s="5">
        <f>IF('зведена (БАЛАНС) (2)'!E1580&gt;'зведена (БАЛАНС) (2)'!F1580,'зведена (БАЛАНС) (2)'!E1580-'зведена (БАЛАНС) (2)'!F1580,0)</f>
        <v>0</v>
      </c>
      <c r="F1580" s="5">
        <f>IF('зведена (БАЛАНС) (2)'!F1580&gt;'зведена (БАЛАНС) (2)'!E1580,'зведена (БАЛАНС) (2)'!F1580-'зведена (БАЛАНС) (2)'!E1580,0)</f>
        <v>17002.599999999999</v>
      </c>
    </row>
    <row r="1581" spans="1:6" x14ac:dyDescent="0.25">
      <c r="A1581" s="38">
        <v>24</v>
      </c>
      <c r="B1581" s="34" t="s">
        <v>984</v>
      </c>
      <c r="C1581" s="18">
        <v>24542000000</v>
      </c>
      <c r="D1581" s="32" t="s">
        <v>2669</v>
      </c>
      <c r="E1581" s="5">
        <f>IF('зведена (БАЛАНС) (2)'!E1581&gt;'зведена (БАЛАНС) (2)'!F1581,'зведена (БАЛАНС) (2)'!E1581-'зведена (БАЛАНС) (2)'!F1581,0)</f>
        <v>0</v>
      </c>
      <c r="F1581" s="5">
        <f>IF('зведена (БАЛАНС) (2)'!F1581&gt;'зведена (БАЛАНС) (2)'!E1581,'зведена (БАЛАНС) (2)'!F1581-'зведена (БАЛАНС) (2)'!E1581,0)</f>
        <v>12515.5</v>
      </c>
    </row>
    <row r="1582" spans="1:6" ht="18" customHeight="1" x14ac:dyDescent="0.25">
      <c r="A1582" s="38">
        <v>24</v>
      </c>
      <c r="B1582" s="34" t="s">
        <v>984</v>
      </c>
      <c r="C1582" s="18">
        <v>24543000000</v>
      </c>
      <c r="D1582" s="32" t="s">
        <v>2670</v>
      </c>
      <c r="E1582" s="5">
        <f>IF('зведена (БАЛАНС) (2)'!E1582&gt;'зведена (БАЛАНС) (2)'!F1582,'зведена (БАЛАНС) (2)'!E1582-'зведена (БАЛАНС) (2)'!F1582,0)</f>
        <v>0</v>
      </c>
      <c r="F1582" s="5">
        <f>IF('зведена (БАЛАНС) (2)'!F1582&gt;'зведена (БАЛАНС) (2)'!E1582,'зведена (БАЛАНС) (2)'!F1582-'зведена (БАЛАНС) (2)'!E1582,0)</f>
        <v>10872.9</v>
      </c>
    </row>
    <row r="1583" spans="1:6" x14ac:dyDescent="0.25">
      <c r="A1583" s="38">
        <v>24</v>
      </c>
      <c r="B1583" s="34" t="s">
        <v>984</v>
      </c>
      <c r="C1583" s="18">
        <v>24544000000</v>
      </c>
      <c r="D1583" s="32" t="s">
        <v>2835</v>
      </c>
      <c r="E1583" s="5">
        <f>IF('зведена (БАЛАНС) (2)'!E1583&gt;'зведена (БАЛАНС) (2)'!F1583,'зведена (БАЛАНС) (2)'!E1583-'зведена (БАЛАНС) (2)'!F1583,0)</f>
        <v>0</v>
      </c>
      <c r="F1583" s="5">
        <f>IF('зведена (БАЛАНС) (2)'!F1583&gt;'зведена (БАЛАНС) (2)'!E1583,'зведена (БАЛАНС) (2)'!F1583-'зведена (БАЛАНС) (2)'!E1583,0)</f>
        <v>18728.599999999999</v>
      </c>
    </row>
    <row r="1584" spans="1:6" x14ac:dyDescent="0.25">
      <c r="A1584" s="38">
        <v>24</v>
      </c>
      <c r="B1584" s="34" t="s">
        <v>984</v>
      </c>
      <c r="C1584" s="18">
        <v>24545000000</v>
      </c>
      <c r="D1584" s="32" t="s">
        <v>2836</v>
      </c>
      <c r="E1584" s="5">
        <f>IF('зведена (БАЛАНС) (2)'!E1584&gt;'зведена (БАЛАНС) (2)'!F1584,'зведена (БАЛАНС) (2)'!E1584-'зведена (БАЛАНС) (2)'!F1584,0)</f>
        <v>0</v>
      </c>
      <c r="F1584" s="5">
        <f>IF('зведена (БАЛАНС) (2)'!F1584&gt;'зведена (БАЛАНС) (2)'!E1584,'зведена (БАЛАНС) (2)'!F1584-'зведена (БАЛАНС) (2)'!E1584,0)</f>
        <v>22296.6</v>
      </c>
    </row>
    <row r="1585" spans="1:6" x14ac:dyDescent="0.25">
      <c r="A1585" s="38">
        <v>24</v>
      </c>
      <c r="B1585" s="34" t="s">
        <v>985</v>
      </c>
      <c r="C1585" s="18">
        <v>24546000000</v>
      </c>
      <c r="D1585" s="32" t="s">
        <v>2671</v>
      </c>
      <c r="E1585" s="5">
        <f>IF('зведена (БАЛАНС) (2)'!E1585&gt;'зведена (БАЛАНС) (2)'!F1585,'зведена (БАЛАНС) (2)'!E1585-'зведена (БАЛАНС) (2)'!F1585,0)</f>
        <v>0</v>
      </c>
      <c r="F1585" s="5">
        <f>IF('зведена (БАЛАНС) (2)'!F1585&gt;'зведена (БАЛАНС) (2)'!E1585,'зведена (БАЛАНС) (2)'!F1585-'зведена (БАЛАНС) (2)'!E1585,0)</f>
        <v>40934.699999999997</v>
      </c>
    </row>
    <row r="1586" spans="1:6" x14ac:dyDescent="0.25">
      <c r="A1586" s="38">
        <v>24</v>
      </c>
      <c r="B1586" s="34" t="s">
        <v>984</v>
      </c>
      <c r="C1586" s="18">
        <v>24547000000</v>
      </c>
      <c r="D1586" s="32" t="s">
        <v>2672</v>
      </c>
      <c r="E1586" s="5">
        <f>IF('зведена (БАЛАНС) (2)'!E1586&gt;'зведена (БАЛАНС) (2)'!F1586,'зведена (БАЛАНС) (2)'!E1586-'зведена (БАЛАНС) (2)'!F1586,0)</f>
        <v>0</v>
      </c>
      <c r="F1586" s="5">
        <f>IF('зведена (БАЛАНС) (2)'!F1586&gt;'зведена (БАЛАНС) (2)'!E1586,'зведена (БАЛАНС) (2)'!F1586-'зведена (БАЛАНС) (2)'!E1586,0)</f>
        <v>11516.4</v>
      </c>
    </row>
    <row r="1587" spans="1:6" x14ac:dyDescent="0.25">
      <c r="A1587" s="38">
        <v>24</v>
      </c>
      <c r="B1587" s="34" t="s">
        <v>984</v>
      </c>
      <c r="C1587" s="18">
        <v>24548000000</v>
      </c>
      <c r="D1587" s="32" t="s">
        <v>2673</v>
      </c>
      <c r="E1587" s="5">
        <f>IF('зведена (БАЛАНС) (2)'!E1587&gt;'зведена (БАЛАНС) (2)'!F1587,'зведена (БАЛАНС) (2)'!E1587-'зведена (БАЛАНС) (2)'!F1587,0)</f>
        <v>0</v>
      </c>
      <c r="F1587" s="5">
        <f>IF('зведена (БАЛАНС) (2)'!F1587&gt;'зведена (БАЛАНС) (2)'!E1587,'зведена (БАЛАНС) (2)'!F1587-'зведена (БАЛАНС) (2)'!E1587,0)</f>
        <v>16368.1</v>
      </c>
    </row>
    <row r="1588" spans="1:6" x14ac:dyDescent="0.25">
      <c r="A1588" s="38">
        <v>24</v>
      </c>
      <c r="B1588" s="34" t="s">
        <v>985</v>
      </c>
      <c r="C1588" s="18">
        <v>24549000000</v>
      </c>
      <c r="D1588" s="32" t="s">
        <v>2674</v>
      </c>
      <c r="E1588" s="5">
        <f>IF('зведена (БАЛАНС) (2)'!E1588&gt;'зведена (БАЛАНС) (2)'!F1588,'зведена (БАЛАНС) (2)'!E1588-'зведена (БАЛАНС) (2)'!F1588,0)</f>
        <v>0</v>
      </c>
      <c r="F1588" s="5">
        <f>IF('зведена (БАЛАНС) (2)'!F1588&gt;'зведена (БАЛАНС) (2)'!E1588,'зведена (БАЛАНС) (2)'!F1588-'зведена (БАЛАНС) (2)'!E1588,0)</f>
        <v>7909.6</v>
      </c>
    </row>
    <row r="1589" spans="1:6" x14ac:dyDescent="0.25">
      <c r="A1589" s="38">
        <v>24</v>
      </c>
      <c r="B1589" s="34" t="s">
        <v>984</v>
      </c>
      <c r="C1589" s="18">
        <v>24550000000</v>
      </c>
      <c r="D1589" s="32" t="s">
        <v>2675</v>
      </c>
      <c r="E1589" s="5">
        <f>IF('зведена (БАЛАНС) (2)'!E1589&gt;'зведена (БАЛАНС) (2)'!F1589,'зведена (БАЛАНС) (2)'!E1589-'зведена (БАЛАНС) (2)'!F1589,0)</f>
        <v>0</v>
      </c>
      <c r="F1589" s="5">
        <f>IF('зведена (БАЛАНС) (2)'!F1589&gt;'зведена (БАЛАНС) (2)'!E1589,'зведена (БАЛАНС) (2)'!F1589-'зведена (БАЛАНС) (2)'!E1589,0)</f>
        <v>14361.5</v>
      </c>
    </row>
    <row r="1590" spans="1:6" x14ac:dyDescent="0.25">
      <c r="A1590" s="38">
        <v>24</v>
      </c>
      <c r="B1590" s="34" t="s">
        <v>984</v>
      </c>
      <c r="C1590" s="18">
        <v>24551000000</v>
      </c>
      <c r="D1590" s="32" t="s">
        <v>2676</v>
      </c>
      <c r="E1590" s="5">
        <f>IF('зведена (БАЛАНС) (2)'!E1590&gt;'зведена (БАЛАНС) (2)'!F1590,'зведена (БАЛАНС) (2)'!E1590-'зведена (БАЛАНС) (2)'!F1590,0)</f>
        <v>0</v>
      </c>
      <c r="F1590" s="5">
        <f>IF('зведена (БАЛАНС) (2)'!F1590&gt;'зведена (БАЛАНС) (2)'!E1590,'зведена (БАЛАНС) (2)'!F1590-'зведена (БАЛАНС) (2)'!E1590,0)</f>
        <v>23502.7</v>
      </c>
    </row>
    <row r="1591" spans="1:6" x14ac:dyDescent="0.25">
      <c r="A1591" s="38">
        <v>24</v>
      </c>
      <c r="B1591" s="34" t="s">
        <v>986</v>
      </c>
      <c r="C1591" s="18">
        <v>24552000000</v>
      </c>
      <c r="D1591" s="32" t="s">
        <v>2677</v>
      </c>
      <c r="E1591" s="5">
        <f>IF('зведена (БАЛАНС) (2)'!E1591&gt;'зведена (БАЛАНС) (2)'!F1591,'зведена (БАЛАНС) (2)'!E1591-'зведена (БАЛАНС) (2)'!F1591,0)</f>
        <v>0</v>
      </c>
      <c r="F1591" s="5">
        <f>IF('зведена (БАЛАНС) (2)'!F1591&gt;'зведена (БАЛАНС) (2)'!E1591,'зведена (БАЛАНС) (2)'!F1591-'зведена (БАЛАНС) (2)'!E1591,0)</f>
        <v>0</v>
      </c>
    </row>
    <row r="1592" spans="1:6" x14ac:dyDescent="0.25">
      <c r="A1592" s="36">
        <v>25</v>
      </c>
      <c r="B1592" s="17" t="s">
        <v>7</v>
      </c>
      <c r="C1592" s="17" t="s">
        <v>826</v>
      </c>
      <c r="D1592" s="11" t="s">
        <v>26</v>
      </c>
      <c r="E1592" s="11">
        <f>E1593+E1594+E1600</f>
        <v>116176.59999999999</v>
      </c>
      <c r="F1592" s="11">
        <f>F1593+F1594+F1600</f>
        <v>255767.9</v>
      </c>
    </row>
    <row r="1593" spans="1:6" x14ac:dyDescent="0.25">
      <c r="A1593" s="38">
        <v>25</v>
      </c>
      <c r="B1593" s="34" t="s">
        <v>6</v>
      </c>
      <c r="C1593" s="18" t="s">
        <v>217</v>
      </c>
      <c r="D1593" s="32" t="s">
        <v>864</v>
      </c>
      <c r="E1593" s="5">
        <f>IF('зведена (БАЛАНС) (2)'!E1593&gt;'зведена (БАЛАНС) (2)'!F1593,'зведена (БАЛАНС) (2)'!E1593-'зведена (БАЛАНС) (2)'!F1593,0)</f>
        <v>0</v>
      </c>
      <c r="F1593" s="5">
        <f>IF('зведена (БАЛАНС) (2)'!F1593&gt;'зведена (БАЛАНС) (2)'!E1593,'зведена (БАЛАНС) (2)'!F1593-'зведена (БАЛАНС) (2)'!E1593,0)</f>
        <v>26514.9</v>
      </c>
    </row>
    <row r="1594" spans="1:6" x14ac:dyDescent="0.25">
      <c r="A1594" s="37">
        <v>25</v>
      </c>
      <c r="B1594" s="19" t="s">
        <v>5</v>
      </c>
      <c r="C1594" s="19" t="s">
        <v>827</v>
      </c>
      <c r="D1594" s="7" t="s">
        <v>2818</v>
      </c>
      <c r="E1594" s="7">
        <f>SUM(E1595:E1599)</f>
        <v>0</v>
      </c>
      <c r="F1594" s="7">
        <f>SUM(F1595:F1599)</f>
        <v>0</v>
      </c>
    </row>
    <row r="1595" spans="1:6" x14ac:dyDescent="0.25">
      <c r="A1595" s="38">
        <v>25</v>
      </c>
      <c r="B1595" s="34" t="s">
        <v>4</v>
      </c>
      <c r="C1595" s="18" t="s">
        <v>2765</v>
      </c>
      <c r="D1595" s="32" t="s">
        <v>2766</v>
      </c>
      <c r="E1595" s="5">
        <f>IF('зведена (БАЛАНС) (2)'!E1595&gt;'зведена (БАЛАНС) (2)'!F1595,'зведена (БАЛАНС) (2)'!E1595-'зведена (БАЛАНС) (2)'!F1595,0)</f>
        <v>0</v>
      </c>
      <c r="F1595" s="5">
        <f>IF('зведена (БАЛАНС) (2)'!F1595&gt;'зведена (БАЛАНС) (2)'!E1595,'зведена (БАЛАНС) (2)'!F1595-'зведена (БАЛАНС) (2)'!E1595,0)</f>
        <v>0</v>
      </c>
    </row>
    <row r="1596" spans="1:6" x14ac:dyDescent="0.25">
      <c r="A1596" s="38">
        <v>25</v>
      </c>
      <c r="B1596" s="34" t="s">
        <v>4</v>
      </c>
      <c r="C1596" s="18" t="s">
        <v>218</v>
      </c>
      <c r="D1596" s="32" t="s">
        <v>967</v>
      </c>
      <c r="E1596" s="5">
        <f>IF('зведена (БАЛАНС) (2)'!E1596&gt;'зведена (БАЛАНС) (2)'!F1596,'зведена (БАЛАНС) (2)'!E1596-'зведена (БАЛАНС) (2)'!F1596,0)</f>
        <v>0</v>
      </c>
      <c r="F1596" s="5">
        <f>IF('зведена (БАЛАНС) (2)'!F1596&gt;'зведена (БАЛАНС) (2)'!E1596,'зведена (БАЛАНС) (2)'!F1596-'зведена (БАЛАНС) (2)'!E1596,0)</f>
        <v>0</v>
      </c>
    </row>
    <row r="1597" spans="1:6" x14ac:dyDescent="0.25">
      <c r="A1597" s="38">
        <v>25</v>
      </c>
      <c r="B1597" s="34" t="s">
        <v>4</v>
      </c>
      <c r="C1597" s="18" t="s">
        <v>219</v>
      </c>
      <c r="D1597" s="32" t="s">
        <v>968</v>
      </c>
      <c r="E1597" s="5">
        <f>IF('зведена (БАЛАНС) (2)'!E1597&gt;'зведена (БАЛАНС) (2)'!F1597,'зведена (БАЛАНС) (2)'!E1597-'зведена (БАЛАНС) (2)'!F1597,0)</f>
        <v>0</v>
      </c>
      <c r="F1597" s="5">
        <f>IF('зведена (БАЛАНС) (2)'!F1597&gt;'зведена (БАЛАНС) (2)'!E1597,'зведена (БАЛАНС) (2)'!F1597-'зведена (БАЛАНС) (2)'!E1597,0)</f>
        <v>0</v>
      </c>
    </row>
    <row r="1598" spans="1:6" x14ac:dyDescent="0.25">
      <c r="A1598" s="38">
        <v>25</v>
      </c>
      <c r="B1598" s="34" t="s">
        <v>4</v>
      </c>
      <c r="C1598" s="18" t="s">
        <v>220</v>
      </c>
      <c r="D1598" s="32" t="s">
        <v>969</v>
      </c>
      <c r="E1598" s="5">
        <f>IF('зведена (БАЛАНС) (2)'!E1598&gt;'зведена (БАЛАНС) (2)'!F1598,'зведена (БАЛАНС) (2)'!E1598-'зведена (БАЛАНС) (2)'!F1598,0)</f>
        <v>0</v>
      </c>
      <c r="F1598" s="5">
        <f>IF('зведена (БАЛАНС) (2)'!F1598&gt;'зведена (БАЛАНС) (2)'!E1598,'зведена (БАЛАНС) (2)'!F1598-'зведена (БАЛАНС) (2)'!E1598,0)</f>
        <v>0</v>
      </c>
    </row>
    <row r="1599" spans="1:6" x14ac:dyDescent="0.25">
      <c r="A1599" s="38">
        <v>25</v>
      </c>
      <c r="B1599" s="34" t="s">
        <v>4</v>
      </c>
      <c r="C1599" s="18" t="s">
        <v>221</v>
      </c>
      <c r="D1599" s="32" t="s">
        <v>910</v>
      </c>
      <c r="E1599" s="5">
        <f>IF('зведена (БАЛАНС) (2)'!E1599&gt;'зведена (БАЛАНС) (2)'!F1599,'зведена (БАЛАНС) (2)'!E1599-'зведена (БАЛАНС) (2)'!F1599,0)</f>
        <v>0</v>
      </c>
      <c r="F1599" s="5">
        <f>IF('зведена (БАЛАНС) (2)'!F1599&gt;'зведена (БАЛАНС) (2)'!E1599,'зведена (БАЛАНС) (2)'!F1599-'зведена (БАЛАНС) (2)'!E1599,0)</f>
        <v>0</v>
      </c>
    </row>
    <row r="1600" spans="1:6" x14ac:dyDescent="0.25">
      <c r="A1600" s="37">
        <v>25</v>
      </c>
      <c r="B1600" s="19" t="s">
        <v>28</v>
      </c>
      <c r="C1600" s="19" t="s">
        <v>828</v>
      </c>
      <c r="D1600" s="20" t="s">
        <v>2791</v>
      </c>
      <c r="E1600" s="7">
        <f>SUM(E1601:E1657)</f>
        <v>116176.59999999999</v>
      </c>
      <c r="F1600" s="7">
        <f>SUM(F1601:F1657)</f>
        <v>229253</v>
      </c>
    </row>
    <row r="1601" spans="1:6" x14ac:dyDescent="0.25">
      <c r="A1601" s="38">
        <v>25</v>
      </c>
      <c r="B1601" s="34" t="s">
        <v>984</v>
      </c>
      <c r="C1601" s="18" t="s">
        <v>222</v>
      </c>
      <c r="D1601" s="32" t="s">
        <v>3147</v>
      </c>
      <c r="E1601" s="5">
        <f>IF('зведена (БАЛАНС) (2)'!E1601&gt;'зведена (БАЛАНС) (2)'!F1601,'зведена (БАЛАНС) (2)'!E1601-'зведена (БАЛАНС) (2)'!F1601,0)</f>
        <v>0</v>
      </c>
      <c r="F1601" s="5">
        <f>IF('зведена (БАЛАНС) (2)'!F1601&gt;'зведена (БАЛАНС) (2)'!E1601,'зведена (БАЛАНС) (2)'!F1601-'зведена (БАЛАНС) (2)'!E1601,0)</f>
        <v>4272.7</v>
      </c>
    </row>
    <row r="1602" spans="1:6" x14ac:dyDescent="0.25">
      <c r="A1602" s="38">
        <v>25</v>
      </c>
      <c r="B1602" s="34" t="s">
        <v>985</v>
      </c>
      <c r="C1602" s="18" t="s">
        <v>277</v>
      </c>
      <c r="D1602" s="32" t="s">
        <v>3148</v>
      </c>
      <c r="E1602" s="5">
        <f>IF('зведена (БАЛАНС) (2)'!E1602&gt;'зведена (БАЛАНС) (2)'!F1602,'зведена (БАЛАНС) (2)'!E1602-'зведена (БАЛАНС) (2)'!F1602,0)</f>
        <v>16438.3</v>
      </c>
      <c r="F1602" s="5">
        <f>IF('зведена (БАЛАНС) (2)'!F1602&gt;'зведена (БАЛАНС) (2)'!E1602,'зведена (БАЛАНС) (2)'!F1602-'зведена (БАЛАНС) (2)'!E1602,0)</f>
        <v>0</v>
      </c>
    </row>
    <row r="1603" spans="1:6" x14ac:dyDescent="0.25">
      <c r="A1603" s="38">
        <v>25</v>
      </c>
      <c r="B1603" s="34" t="s">
        <v>984</v>
      </c>
      <c r="C1603" s="18" t="s">
        <v>278</v>
      </c>
      <c r="D1603" s="32" t="s">
        <v>2680</v>
      </c>
      <c r="E1603" s="5">
        <f>IF('зведена (БАЛАНС) (2)'!E1603&gt;'зведена (БАЛАНС) (2)'!F1603,'зведена (БАЛАНС) (2)'!E1603-'зведена (БАЛАНС) (2)'!F1603,0)</f>
        <v>0</v>
      </c>
      <c r="F1603" s="5">
        <f>IF('зведена (БАЛАНС) (2)'!F1603&gt;'зведена (БАЛАНС) (2)'!E1603,'зведена (БАЛАНС) (2)'!F1603-'зведена (БАЛАНС) (2)'!E1603,0)</f>
        <v>3940</v>
      </c>
    </row>
    <row r="1604" spans="1:6" x14ac:dyDescent="0.25">
      <c r="A1604" s="38">
        <v>25</v>
      </c>
      <c r="B1604" s="34" t="s">
        <v>984</v>
      </c>
      <c r="C1604" s="18" t="s">
        <v>279</v>
      </c>
      <c r="D1604" s="32" t="s">
        <v>2681</v>
      </c>
      <c r="E1604" s="5">
        <f>IF('зведена (БАЛАНС) (2)'!E1604&gt;'зведена (БАЛАНС) (2)'!F1604,'зведена (БАЛАНС) (2)'!E1604-'зведена (БАЛАНС) (2)'!F1604,0)</f>
        <v>2355.3000000000002</v>
      </c>
      <c r="F1604" s="5">
        <f>IF('зведена (БАЛАНС) (2)'!F1604&gt;'зведена (БАЛАНС) (2)'!E1604,'зведена (БАЛАНС) (2)'!F1604-'зведена (БАЛАНС) (2)'!E1604,0)</f>
        <v>0</v>
      </c>
    </row>
    <row r="1605" spans="1:6" x14ac:dyDescent="0.25">
      <c r="A1605" s="38">
        <v>25</v>
      </c>
      <c r="B1605" s="34" t="s">
        <v>985</v>
      </c>
      <c r="C1605" s="18" t="s">
        <v>280</v>
      </c>
      <c r="D1605" s="32" t="s">
        <v>2682</v>
      </c>
      <c r="E1605" s="5">
        <f>IF('зведена (БАЛАНС) (2)'!E1605&gt;'зведена (БАЛАНС) (2)'!F1605,'зведена (БАЛАНС) (2)'!E1605-'зведена (БАЛАНС) (2)'!F1605,0)</f>
        <v>1589.3</v>
      </c>
      <c r="F1605" s="5">
        <f>IF('зведена (БАЛАНС) (2)'!F1605&gt;'зведена (БАЛАНС) (2)'!E1605,'зведена (БАЛАНС) (2)'!F1605-'зведена (БАЛАНС) (2)'!E1605,0)</f>
        <v>0</v>
      </c>
    </row>
    <row r="1606" spans="1:6" x14ac:dyDescent="0.25">
      <c r="A1606" s="38">
        <v>25</v>
      </c>
      <c r="B1606" s="34" t="s">
        <v>983</v>
      </c>
      <c r="C1606" s="18" t="s">
        <v>456</v>
      </c>
      <c r="D1606" s="32" t="s">
        <v>2683</v>
      </c>
      <c r="E1606" s="5">
        <f>IF('зведена (БАЛАНС) (2)'!E1606&gt;'зведена (БАЛАНС) (2)'!F1606,'зведена (БАЛАНС) (2)'!E1606-'зведена (БАЛАНС) (2)'!F1606,0)</f>
        <v>0</v>
      </c>
      <c r="F1606" s="5">
        <f>IF('зведена (БАЛАНС) (2)'!F1606&gt;'зведена (БАЛАНС) (2)'!E1606,'зведена (БАЛАНС) (2)'!F1606-'зведена (БАЛАНС) (2)'!E1606,0)</f>
        <v>0</v>
      </c>
    </row>
    <row r="1607" spans="1:6" x14ac:dyDescent="0.25">
      <c r="A1607" s="38">
        <v>25</v>
      </c>
      <c r="B1607" s="34" t="s">
        <v>983</v>
      </c>
      <c r="C1607" s="18" t="s">
        <v>457</v>
      </c>
      <c r="D1607" s="32" t="s">
        <v>3149</v>
      </c>
      <c r="E1607" s="5">
        <f>IF('зведена (БАЛАНС) (2)'!E1607&gt;'зведена (БАЛАНС) (2)'!F1607,'зведена (БАЛАНС) (2)'!E1607-'зведена (БАЛАНС) (2)'!F1607,0)</f>
        <v>0</v>
      </c>
      <c r="F1607" s="5">
        <f>IF('зведена (БАЛАНС) (2)'!F1607&gt;'зведена (БАЛАНС) (2)'!E1607,'зведена (БАЛАНС) (2)'!F1607-'зведена (БАЛАНС) (2)'!E1607,0)</f>
        <v>0</v>
      </c>
    </row>
    <row r="1608" spans="1:6" x14ac:dyDescent="0.25">
      <c r="A1608" s="38">
        <v>25</v>
      </c>
      <c r="B1608" s="34" t="s">
        <v>983</v>
      </c>
      <c r="C1608" s="18" t="s">
        <v>458</v>
      </c>
      <c r="D1608" s="32" t="s">
        <v>2685</v>
      </c>
      <c r="E1608" s="5">
        <f>IF('зведена (БАЛАНС) (2)'!E1608&gt;'зведена (БАЛАНС) (2)'!F1608,'зведена (БАЛАНС) (2)'!E1608-'зведена (БАЛАНС) (2)'!F1608,0)</f>
        <v>0</v>
      </c>
      <c r="F1608" s="5">
        <f>IF('зведена (БАЛАНС) (2)'!F1608&gt;'зведена (БАЛАНС) (2)'!E1608,'зведена (БАЛАНС) (2)'!F1608-'зведена (БАЛАНС) (2)'!E1608,0)</f>
        <v>13714.9</v>
      </c>
    </row>
    <row r="1609" spans="1:6" x14ac:dyDescent="0.25">
      <c r="A1609" s="38">
        <v>25</v>
      </c>
      <c r="B1609" s="34" t="s">
        <v>983</v>
      </c>
      <c r="C1609" s="18" t="s">
        <v>459</v>
      </c>
      <c r="D1609" s="32" t="s">
        <v>2686</v>
      </c>
      <c r="E1609" s="5">
        <f>IF('зведена (БАЛАНС) (2)'!E1609&gt;'зведена (БАЛАНС) (2)'!F1609,'зведена (БАЛАНС) (2)'!E1609-'зведена (БАЛАНС) (2)'!F1609,0)</f>
        <v>0</v>
      </c>
      <c r="F1609" s="5">
        <f>IF('зведена (БАЛАНС) (2)'!F1609&gt;'зведена (БАЛАНС) (2)'!E1609,'зведена (БАЛАНС) (2)'!F1609-'зведена (БАЛАНС) (2)'!E1609,0)</f>
        <v>10014.700000000001</v>
      </c>
    </row>
    <row r="1610" spans="1:6" x14ac:dyDescent="0.25">
      <c r="A1610" s="38">
        <v>25</v>
      </c>
      <c r="B1610" s="34" t="s">
        <v>983</v>
      </c>
      <c r="C1610" s="18" t="s">
        <v>460</v>
      </c>
      <c r="D1610" s="32" t="s">
        <v>2687</v>
      </c>
      <c r="E1610" s="5">
        <f>IF('зведена (БАЛАНС) (2)'!E1610&gt;'зведена (БАЛАНС) (2)'!F1610,'зведена (БАЛАНС) (2)'!E1610-'зведена (БАЛАНС) (2)'!F1610,0)</f>
        <v>0</v>
      </c>
      <c r="F1610" s="5">
        <f>IF('зведена (БАЛАНС) (2)'!F1610&gt;'зведена (БАЛАНС) (2)'!E1610,'зведена (БАЛАНС) (2)'!F1610-'зведена (БАЛАНС) (2)'!E1610,0)</f>
        <v>10671.6</v>
      </c>
    </row>
    <row r="1611" spans="1:6" x14ac:dyDescent="0.25">
      <c r="A1611" s="38">
        <v>25</v>
      </c>
      <c r="B1611" s="34" t="s">
        <v>985</v>
      </c>
      <c r="C1611" s="18" t="s">
        <v>461</v>
      </c>
      <c r="D1611" s="32" t="s">
        <v>3150</v>
      </c>
      <c r="E1611" s="5">
        <f>IF('зведена (БАЛАНС) (2)'!E1611&gt;'зведена (БАЛАНС) (2)'!F1611,'зведена (БАЛАНС) (2)'!E1611-'зведена (БАЛАНС) (2)'!F1611,0)</f>
        <v>11976.9</v>
      </c>
      <c r="F1611" s="5">
        <f>IF('зведена (БАЛАНС) (2)'!F1611&gt;'зведена (БАЛАНС) (2)'!E1611,'зведена (БАЛАНС) (2)'!F1611-'зведена (БАЛАНС) (2)'!E1611,0)</f>
        <v>0</v>
      </c>
    </row>
    <row r="1612" spans="1:6" x14ac:dyDescent="0.25">
      <c r="A1612" s="38">
        <v>25</v>
      </c>
      <c r="B1612" s="34" t="s">
        <v>985</v>
      </c>
      <c r="C1612" s="18" t="s">
        <v>462</v>
      </c>
      <c r="D1612" s="32" t="s">
        <v>2689</v>
      </c>
      <c r="E1612" s="5">
        <f>IF('зведена (БАЛАНС) (2)'!E1612&gt;'зведена (БАЛАНС) (2)'!F1612,'зведена (БАЛАНС) (2)'!E1612-'зведена (БАЛАНС) (2)'!F1612,0)</f>
        <v>0</v>
      </c>
      <c r="F1612" s="5">
        <f>IF('зведена (БАЛАНС) (2)'!F1612&gt;'зведена (БАЛАНС) (2)'!E1612,'зведена (БАЛАНС) (2)'!F1612-'зведена (БАЛАНС) (2)'!E1612,0)</f>
        <v>10056.9</v>
      </c>
    </row>
    <row r="1613" spans="1:6" x14ac:dyDescent="0.25">
      <c r="A1613" s="38">
        <v>25</v>
      </c>
      <c r="B1613" s="34" t="s">
        <v>985</v>
      </c>
      <c r="C1613" s="18" t="s">
        <v>463</v>
      </c>
      <c r="D1613" s="32" t="s">
        <v>2690</v>
      </c>
      <c r="E1613" s="5">
        <f>IF('зведена (БАЛАНС) (2)'!E1613&gt;'зведена (БАЛАНС) (2)'!F1613,'зведена (БАЛАНС) (2)'!E1613-'зведена (БАЛАНС) (2)'!F1613,0)</f>
        <v>0</v>
      </c>
      <c r="F1613" s="5">
        <f>IF('зведена (БАЛАНС) (2)'!F1613&gt;'зведена (БАЛАНС) (2)'!E1613,'зведена (БАЛАНС) (2)'!F1613-'зведена (БАЛАНС) (2)'!E1613,0)</f>
        <v>9657.7999999999993</v>
      </c>
    </row>
    <row r="1614" spans="1:6" ht="31.5" x14ac:dyDescent="0.25">
      <c r="A1614" s="38">
        <v>25</v>
      </c>
      <c r="B1614" s="34" t="s">
        <v>985</v>
      </c>
      <c r="C1614" s="18" t="s">
        <v>464</v>
      </c>
      <c r="D1614" s="32" t="s">
        <v>3151</v>
      </c>
      <c r="E1614" s="5">
        <f>IF('зведена (БАЛАНС) (2)'!E1614&gt;'зведена (БАЛАНС) (2)'!F1614,'зведена (БАЛАНС) (2)'!E1614-'зведена (БАЛАНС) (2)'!F1614,0)</f>
        <v>0</v>
      </c>
      <c r="F1614" s="5">
        <f>IF('зведена (БАЛАНС) (2)'!F1614&gt;'зведена (БАЛАНС) (2)'!E1614,'зведена (БАЛАНС) (2)'!F1614-'зведена (БАЛАНС) (2)'!E1614,0)</f>
        <v>3826.3</v>
      </c>
    </row>
    <row r="1615" spans="1:6" x14ac:dyDescent="0.25">
      <c r="A1615" s="38">
        <v>25</v>
      </c>
      <c r="B1615" s="34" t="s">
        <v>984</v>
      </c>
      <c r="C1615" s="18" t="s">
        <v>465</v>
      </c>
      <c r="D1615" s="32" t="s">
        <v>2365</v>
      </c>
      <c r="E1615" s="5">
        <f>IF('зведена (БАЛАНС) (2)'!E1615&gt;'зведена (БАЛАНС) (2)'!F1615,'зведена (БАЛАНС) (2)'!E1615-'зведена (БАЛАНС) (2)'!F1615,0)</f>
        <v>0</v>
      </c>
      <c r="F1615" s="5">
        <f>IF('зведена (БАЛАНС) (2)'!F1615&gt;'зведена (БАЛАНС) (2)'!E1615,'зведена (БАЛАНС) (2)'!F1615-'зведена (БАЛАНС) (2)'!E1615,0)</f>
        <v>9260.2999999999993</v>
      </c>
    </row>
    <row r="1616" spans="1:6" x14ac:dyDescent="0.25">
      <c r="A1616" s="38">
        <v>25</v>
      </c>
      <c r="B1616" s="34" t="s">
        <v>984</v>
      </c>
      <c r="C1616" s="18" t="s">
        <v>466</v>
      </c>
      <c r="D1616" s="32" t="s">
        <v>2692</v>
      </c>
      <c r="E1616" s="5">
        <f>IF('зведена (БАЛАНС) (2)'!E1616&gt;'зведена (БАЛАНС) (2)'!F1616,'зведена (БАЛАНС) (2)'!E1616-'зведена (БАЛАНС) (2)'!F1616,0)</f>
        <v>0</v>
      </c>
      <c r="F1616" s="5">
        <f>IF('зведена (БАЛАНС) (2)'!F1616&gt;'зведена (БАЛАНС) (2)'!E1616,'зведена (БАЛАНС) (2)'!F1616-'зведена (БАЛАНС) (2)'!E1616,0)</f>
        <v>665.7</v>
      </c>
    </row>
    <row r="1617" spans="1:6" x14ac:dyDescent="0.25">
      <c r="A1617" s="38">
        <v>25</v>
      </c>
      <c r="B1617" s="34" t="s">
        <v>983</v>
      </c>
      <c r="C1617" s="18" t="s">
        <v>507</v>
      </c>
      <c r="D1617" s="32" t="s">
        <v>2693</v>
      </c>
      <c r="E1617" s="5">
        <f>IF('зведена (БАЛАНС) (2)'!E1617&gt;'зведена (БАЛАНС) (2)'!F1617,'зведена (БАЛАНС) (2)'!E1617-'зведена (БАЛАНС) (2)'!F1617,0)</f>
        <v>0</v>
      </c>
      <c r="F1617" s="5">
        <f>IF('зведена (БАЛАНС) (2)'!F1617&gt;'зведена (БАЛАНС) (2)'!E1617,'зведена (БАЛАНС) (2)'!F1617-'зведена (БАЛАНС) (2)'!E1617,0)</f>
        <v>7746.7</v>
      </c>
    </row>
    <row r="1618" spans="1:6" x14ac:dyDescent="0.25">
      <c r="A1618" s="38">
        <v>25</v>
      </c>
      <c r="B1618" s="34" t="s">
        <v>985</v>
      </c>
      <c r="C1618" s="18" t="s">
        <v>508</v>
      </c>
      <c r="D1618" s="32" t="s">
        <v>2694</v>
      </c>
      <c r="E1618" s="5">
        <f>IF('зведена (БАЛАНС) (2)'!E1618&gt;'зведена (БАЛАНС) (2)'!F1618,'зведена (БАЛАНС) (2)'!E1618-'зведена (БАЛАНС) (2)'!F1618,0)</f>
        <v>0</v>
      </c>
      <c r="F1618" s="5">
        <f>IF('зведена (БАЛАНС) (2)'!F1618&gt;'зведена (БАЛАНС) (2)'!E1618,'зведена (БАЛАНС) (2)'!F1618-'зведена (БАЛАНС) (2)'!E1618,0)</f>
        <v>0</v>
      </c>
    </row>
    <row r="1619" spans="1:6" x14ac:dyDescent="0.25">
      <c r="A1619" s="38">
        <v>25</v>
      </c>
      <c r="B1619" s="34" t="s">
        <v>984</v>
      </c>
      <c r="C1619" s="18" t="s">
        <v>509</v>
      </c>
      <c r="D1619" s="32" t="s">
        <v>2695</v>
      </c>
      <c r="E1619" s="5">
        <f>IF('зведена (БАЛАНС) (2)'!E1619&gt;'зведена (БАЛАНС) (2)'!F1619,'зведена (БАЛАНС) (2)'!E1619-'зведена (БАЛАНС) (2)'!F1619,0)</f>
        <v>0</v>
      </c>
      <c r="F1619" s="5">
        <f>IF('зведена (БАЛАНС) (2)'!F1619&gt;'зведена (БАЛАНС) (2)'!E1619,'зведена (БАЛАНС) (2)'!F1619-'зведена (БАЛАНС) (2)'!E1619,0)</f>
        <v>0</v>
      </c>
    </row>
    <row r="1620" spans="1:6" x14ac:dyDescent="0.25">
      <c r="A1620" s="38">
        <v>25</v>
      </c>
      <c r="B1620" s="34" t="s">
        <v>984</v>
      </c>
      <c r="C1620" s="18" t="s">
        <v>662</v>
      </c>
      <c r="D1620" s="32" t="s">
        <v>2696</v>
      </c>
      <c r="E1620" s="5">
        <f>IF('зведена (БАЛАНС) (2)'!E1620&gt;'зведена (БАЛАНС) (2)'!F1620,'зведена (БАЛАНС) (2)'!E1620-'зведена (БАЛАНС) (2)'!F1620,0)</f>
        <v>3617.4</v>
      </c>
      <c r="F1620" s="5">
        <f>IF('зведена (БАЛАНС) (2)'!F1620&gt;'зведена (БАЛАНС) (2)'!E1620,'зведена (БАЛАНС) (2)'!F1620-'зведена (БАЛАНС) (2)'!E1620,0)</f>
        <v>0</v>
      </c>
    </row>
    <row r="1621" spans="1:6" x14ac:dyDescent="0.25">
      <c r="A1621" s="38">
        <v>25</v>
      </c>
      <c r="B1621" s="34" t="s">
        <v>983</v>
      </c>
      <c r="C1621" s="18" t="s">
        <v>663</v>
      </c>
      <c r="D1621" s="32" t="s">
        <v>2697</v>
      </c>
      <c r="E1621" s="5">
        <f>IF('зведена (БАЛАНС) (2)'!E1621&gt;'зведена (БАЛАНС) (2)'!F1621,'зведена (БАЛАНС) (2)'!E1621-'зведена (БАЛАНС) (2)'!F1621,0)</f>
        <v>853</v>
      </c>
      <c r="F1621" s="5">
        <f>IF('зведена (БАЛАНС) (2)'!F1621&gt;'зведена (БАЛАНС) (2)'!E1621,'зведена (БАЛАНС) (2)'!F1621-'зведена (БАЛАНС) (2)'!E1621,0)</f>
        <v>0</v>
      </c>
    </row>
    <row r="1622" spans="1:6" x14ac:dyDescent="0.25">
      <c r="A1622" s="38">
        <v>25</v>
      </c>
      <c r="B1622" s="34" t="s">
        <v>984</v>
      </c>
      <c r="C1622" s="18" t="s">
        <v>664</v>
      </c>
      <c r="D1622" s="32" t="s">
        <v>2698</v>
      </c>
      <c r="E1622" s="5">
        <f>IF('зведена (БАЛАНС) (2)'!E1622&gt;'зведена (БАЛАНС) (2)'!F1622,'зведена (БАЛАНС) (2)'!E1622-'зведена (БАЛАНС) (2)'!F1622,0)</f>
        <v>0</v>
      </c>
      <c r="F1622" s="5">
        <f>IF('зведена (БАЛАНС) (2)'!F1622&gt;'зведена (БАЛАНС) (2)'!E1622,'зведена (БАЛАНС) (2)'!F1622-'зведена (БАЛАНС) (2)'!E1622,0)</f>
        <v>43.6</v>
      </c>
    </row>
    <row r="1623" spans="1:6" x14ac:dyDescent="0.25">
      <c r="A1623" s="38">
        <v>25</v>
      </c>
      <c r="B1623" s="34" t="s">
        <v>984</v>
      </c>
      <c r="C1623" s="18" t="s">
        <v>665</v>
      </c>
      <c r="D1623" s="32" t="s">
        <v>2699</v>
      </c>
      <c r="E1623" s="5">
        <f>IF('зведена (БАЛАНС) (2)'!E1623&gt;'зведена (БАЛАНС) (2)'!F1623,'зведена (БАЛАНС) (2)'!E1623-'зведена (БАЛАНС) (2)'!F1623,0)</f>
        <v>0</v>
      </c>
      <c r="F1623" s="5">
        <f>IF('зведена (БАЛАНС) (2)'!F1623&gt;'зведена (БАЛАНС) (2)'!E1623,'зведена (БАЛАНС) (2)'!F1623-'зведена (БАЛАНС) (2)'!E1623,0)</f>
        <v>29</v>
      </c>
    </row>
    <row r="1624" spans="1:6" x14ac:dyDescent="0.25">
      <c r="A1624" s="38">
        <v>25</v>
      </c>
      <c r="B1624" s="34" t="s">
        <v>983</v>
      </c>
      <c r="C1624" s="18" t="s">
        <v>666</v>
      </c>
      <c r="D1624" s="32" t="s">
        <v>2700</v>
      </c>
      <c r="E1624" s="5">
        <f>IF('зведена (БАЛАНС) (2)'!E1624&gt;'зведена (БАЛАНС) (2)'!F1624,'зведена (БАЛАНС) (2)'!E1624-'зведена (БАЛАНС) (2)'!F1624,0)</f>
        <v>0</v>
      </c>
      <c r="F1624" s="5">
        <f>IF('зведена (БАЛАНС) (2)'!F1624&gt;'зведена (БАЛАНС) (2)'!E1624,'зведена (БАЛАНС) (2)'!F1624-'зведена (БАЛАНС) (2)'!E1624,0)</f>
        <v>0</v>
      </c>
    </row>
    <row r="1625" spans="1:6" x14ac:dyDescent="0.25">
      <c r="A1625" s="38">
        <v>25</v>
      </c>
      <c r="B1625" s="34" t="s">
        <v>985</v>
      </c>
      <c r="C1625" s="18" t="s">
        <v>667</v>
      </c>
      <c r="D1625" s="32" t="s">
        <v>2837</v>
      </c>
      <c r="E1625" s="5">
        <f>IF('зведена (БАЛАНС) (2)'!E1625&gt;'зведена (БАЛАНС) (2)'!F1625,'зведена (БАЛАНС) (2)'!E1625-'зведена (БАЛАНС) (2)'!F1625,0)</f>
        <v>0</v>
      </c>
      <c r="F1625" s="5">
        <f>IF('зведена (БАЛАНС) (2)'!F1625&gt;'зведена (БАЛАНС) (2)'!E1625,'зведена (БАЛАНС) (2)'!F1625-'зведена (БАЛАНС) (2)'!E1625,0)</f>
        <v>7064.9</v>
      </c>
    </row>
    <row r="1626" spans="1:6" x14ac:dyDescent="0.25">
      <c r="A1626" s="38">
        <v>25</v>
      </c>
      <c r="B1626" s="34" t="s">
        <v>985</v>
      </c>
      <c r="C1626" s="18" t="s">
        <v>668</v>
      </c>
      <c r="D1626" s="32" t="s">
        <v>2701</v>
      </c>
      <c r="E1626" s="5">
        <f>IF('зведена (БАЛАНС) (2)'!E1626&gt;'зведена (БАЛАНС) (2)'!F1626,'зведена (БАЛАНС) (2)'!E1626-'зведена (БАЛАНС) (2)'!F1626,0)</f>
        <v>0</v>
      </c>
      <c r="F1626" s="5">
        <f>IF('зведена (БАЛАНС) (2)'!F1626&gt;'зведена (БАЛАНС) (2)'!E1626,'зведена (БАЛАНС) (2)'!F1626-'зведена (БАЛАНС) (2)'!E1626,0)</f>
        <v>0</v>
      </c>
    </row>
    <row r="1627" spans="1:6" x14ac:dyDescent="0.25">
      <c r="A1627" s="38">
        <v>25</v>
      </c>
      <c r="B1627" s="34" t="s">
        <v>985</v>
      </c>
      <c r="C1627" s="18" t="s">
        <v>669</v>
      </c>
      <c r="D1627" s="32" t="s">
        <v>3152</v>
      </c>
      <c r="E1627" s="5">
        <f>IF('зведена (БАЛАНС) (2)'!E1627&gt;'зведена (БАЛАНС) (2)'!F1627,'зведена (БАЛАНС) (2)'!E1627-'зведена (БАЛАНС) (2)'!F1627,0)</f>
        <v>0</v>
      </c>
      <c r="F1627" s="5">
        <f>IF('зведена (БАЛАНС) (2)'!F1627&gt;'зведена (БАЛАНС) (2)'!E1627,'зведена (БАЛАНС) (2)'!F1627-'зведена (БАЛАНС) (2)'!E1627,0)</f>
        <v>1876.5</v>
      </c>
    </row>
    <row r="1628" spans="1:6" x14ac:dyDescent="0.25">
      <c r="A1628" s="38">
        <v>25</v>
      </c>
      <c r="B1628" s="34" t="s">
        <v>983</v>
      </c>
      <c r="C1628" s="18" t="s">
        <v>670</v>
      </c>
      <c r="D1628" s="32" t="s">
        <v>3153</v>
      </c>
      <c r="E1628" s="5">
        <f>IF('зведена (БАЛАНС) (2)'!E1628&gt;'зведена (БАЛАНС) (2)'!F1628,'зведена (БАЛАНС) (2)'!E1628-'зведена (БАЛАНС) (2)'!F1628,0)</f>
        <v>0</v>
      </c>
      <c r="F1628" s="5">
        <f>IF('зведена (БАЛАНС) (2)'!F1628&gt;'зведена (БАЛАНС) (2)'!E1628,'зведена (БАЛАНС) (2)'!F1628-'зведена (БАЛАНС) (2)'!E1628,0)</f>
        <v>8131.6</v>
      </c>
    </row>
    <row r="1629" spans="1:6" x14ac:dyDescent="0.25">
      <c r="A1629" s="38">
        <v>25</v>
      </c>
      <c r="B1629" s="34" t="s">
        <v>985</v>
      </c>
      <c r="C1629" s="18" t="s">
        <v>671</v>
      </c>
      <c r="D1629" s="32" t="s">
        <v>2704</v>
      </c>
      <c r="E1629" s="5">
        <f>IF('зведена (БАЛАНС) (2)'!E1629&gt;'зведена (БАЛАНС) (2)'!F1629,'зведена (БАЛАНС) (2)'!E1629-'зведена (БАЛАНС) (2)'!F1629,0)</f>
        <v>0</v>
      </c>
      <c r="F1629" s="5">
        <f>IF('зведена (БАЛАНС) (2)'!F1629&gt;'зведена (БАЛАНС) (2)'!E1629,'зведена (БАЛАНС) (2)'!F1629-'зведена (БАЛАНС) (2)'!E1629,0)</f>
        <v>11992.2</v>
      </c>
    </row>
    <row r="1630" spans="1:6" x14ac:dyDescent="0.25">
      <c r="A1630" s="38">
        <v>25</v>
      </c>
      <c r="B1630" s="34" t="s">
        <v>985</v>
      </c>
      <c r="C1630" s="18" t="s">
        <v>672</v>
      </c>
      <c r="D1630" s="32" t="s">
        <v>2705</v>
      </c>
      <c r="E1630" s="5">
        <f>IF('зведена (БАЛАНС) (2)'!E1630&gt;'зведена (БАЛАНС) (2)'!F1630,'зведена (БАЛАНС) (2)'!E1630-'зведена (БАЛАНС) (2)'!F1630,0)</f>
        <v>4312.7</v>
      </c>
      <c r="F1630" s="5">
        <f>IF('зведена (БАЛАНС) (2)'!F1630&gt;'зведена (БАЛАНС) (2)'!E1630,'зведена (БАЛАНС) (2)'!F1630-'зведена (БАЛАНС) (2)'!E1630,0)</f>
        <v>0</v>
      </c>
    </row>
    <row r="1631" spans="1:6" x14ac:dyDescent="0.25">
      <c r="A1631" s="38">
        <v>25</v>
      </c>
      <c r="B1631" s="34" t="s">
        <v>985</v>
      </c>
      <c r="C1631" s="18" t="s">
        <v>673</v>
      </c>
      <c r="D1631" s="32" t="s">
        <v>2706</v>
      </c>
      <c r="E1631" s="5">
        <f>IF('зведена (БАЛАНС) (2)'!E1631&gt;'зведена (БАЛАНС) (2)'!F1631,'зведена (БАЛАНС) (2)'!E1631-'зведена (БАЛАНС) (2)'!F1631,0)</f>
        <v>0</v>
      </c>
      <c r="F1631" s="5">
        <f>IF('зведена (БАЛАНС) (2)'!F1631&gt;'зведена (БАЛАНС) (2)'!E1631,'зведена (БАЛАНС) (2)'!F1631-'зведена (БАЛАНС) (2)'!E1631,0)</f>
        <v>0</v>
      </c>
    </row>
    <row r="1632" spans="1:6" x14ac:dyDescent="0.25">
      <c r="A1632" s="38">
        <v>25</v>
      </c>
      <c r="B1632" s="34" t="s">
        <v>985</v>
      </c>
      <c r="C1632" s="18" t="s">
        <v>674</v>
      </c>
      <c r="D1632" s="32" t="s">
        <v>2707</v>
      </c>
      <c r="E1632" s="5">
        <f>IF('зведена (БАЛАНС) (2)'!E1632&gt;'зведена (БАЛАНС) (2)'!F1632,'зведена (БАЛАНС) (2)'!E1632-'зведена (БАЛАНС) (2)'!F1632,0)</f>
        <v>0</v>
      </c>
      <c r="F1632" s="5">
        <f>IF('зведена (БАЛАНС) (2)'!F1632&gt;'зведена (БАЛАНС) (2)'!E1632,'зведена (БАЛАНС) (2)'!F1632-'зведена (БАЛАНС) (2)'!E1632,0)</f>
        <v>4561.5</v>
      </c>
    </row>
    <row r="1633" spans="1:6" x14ac:dyDescent="0.25">
      <c r="A1633" s="38">
        <v>25</v>
      </c>
      <c r="B1633" s="34" t="s">
        <v>985</v>
      </c>
      <c r="C1633" s="18" t="s">
        <v>675</v>
      </c>
      <c r="D1633" s="32" t="s">
        <v>2708</v>
      </c>
      <c r="E1633" s="5">
        <f>IF('зведена (БАЛАНС) (2)'!E1633&gt;'зведена (БАЛАНС) (2)'!F1633,'зведена (БАЛАНС) (2)'!E1633-'зведена (БАЛАНС) (2)'!F1633,0)</f>
        <v>1818.4</v>
      </c>
      <c r="F1633" s="5">
        <f>IF('зведена (БАЛАНС) (2)'!F1633&gt;'зведена (БАЛАНС) (2)'!E1633,'зведена (БАЛАНС) (2)'!F1633-'зведена (БАЛАНС) (2)'!E1633,0)</f>
        <v>0</v>
      </c>
    </row>
    <row r="1634" spans="1:6" x14ac:dyDescent="0.25">
      <c r="A1634" s="38">
        <v>25</v>
      </c>
      <c r="B1634" s="34" t="s">
        <v>984</v>
      </c>
      <c r="C1634" s="18" t="s">
        <v>728</v>
      </c>
      <c r="D1634" s="32" t="s">
        <v>2709</v>
      </c>
      <c r="E1634" s="5">
        <f>IF('зведена (БАЛАНС) (2)'!E1634&gt;'зведена (БАЛАНС) (2)'!F1634,'зведена (БАЛАНС) (2)'!E1634-'зведена (БАЛАНС) (2)'!F1634,0)</f>
        <v>0</v>
      </c>
      <c r="F1634" s="5">
        <f>IF('зведена (БАЛАНС) (2)'!F1634&gt;'зведена (БАЛАНС) (2)'!E1634,'зведена (БАЛАНС) (2)'!F1634-'зведена (БАЛАНС) (2)'!E1634,0)</f>
        <v>4929.6000000000004</v>
      </c>
    </row>
    <row r="1635" spans="1:6" x14ac:dyDescent="0.25">
      <c r="A1635" s="38">
        <v>25</v>
      </c>
      <c r="B1635" s="34" t="s">
        <v>985</v>
      </c>
      <c r="C1635" s="18" t="s">
        <v>729</v>
      </c>
      <c r="D1635" s="32" t="s">
        <v>2710</v>
      </c>
      <c r="E1635" s="5">
        <f>IF('зведена (БАЛАНС) (2)'!E1635&gt;'зведена (БАЛАНС) (2)'!F1635,'зведена (БАЛАНС) (2)'!E1635-'зведена (БАЛАНС) (2)'!F1635,0)</f>
        <v>10903.5</v>
      </c>
      <c r="F1635" s="5">
        <f>IF('зведена (БАЛАНС) (2)'!F1635&gt;'зведена (БАЛАНС) (2)'!E1635,'зведена (БАЛАНС) (2)'!F1635-'зведена (БАЛАНС) (2)'!E1635,0)</f>
        <v>0</v>
      </c>
    </row>
    <row r="1636" spans="1:6" x14ac:dyDescent="0.25">
      <c r="A1636" s="38">
        <v>25</v>
      </c>
      <c r="B1636" s="34" t="s">
        <v>983</v>
      </c>
      <c r="C1636" s="18" t="s">
        <v>730</v>
      </c>
      <c r="D1636" s="32" t="s">
        <v>3154</v>
      </c>
      <c r="E1636" s="5">
        <f>IF('зведена (БАЛАНС) (2)'!E1636&gt;'зведена (БАЛАНС) (2)'!F1636,'зведена (БАЛАНС) (2)'!E1636-'зведена (БАЛАНС) (2)'!F1636,0)</f>
        <v>0</v>
      </c>
      <c r="F1636" s="5">
        <f>IF('зведена (БАЛАНС) (2)'!F1636&gt;'зведена (БАЛАНС) (2)'!E1636,'зведена (БАЛАНС) (2)'!F1636-'зведена (БАЛАНС) (2)'!E1636,0)</f>
        <v>17229.8</v>
      </c>
    </row>
    <row r="1637" spans="1:6" x14ac:dyDescent="0.25">
      <c r="A1637" s="38">
        <v>25</v>
      </c>
      <c r="B1637" s="34" t="s">
        <v>985</v>
      </c>
      <c r="C1637" s="18" t="s">
        <v>731</v>
      </c>
      <c r="D1637" s="32" t="s">
        <v>2712</v>
      </c>
      <c r="E1637" s="5">
        <f>IF('зведена (БАЛАНС) (2)'!E1637&gt;'зведена (БАЛАНС) (2)'!F1637,'зведена (БАЛАНС) (2)'!E1637-'зведена (БАЛАНС) (2)'!F1637,0)</f>
        <v>204.5</v>
      </c>
      <c r="F1637" s="5">
        <f>IF('зведена (БАЛАНС) (2)'!F1637&gt;'зведена (БАЛАНС) (2)'!E1637,'зведена (БАЛАНС) (2)'!F1637-'зведена (БАЛАНС) (2)'!E1637,0)</f>
        <v>0</v>
      </c>
    </row>
    <row r="1638" spans="1:6" x14ac:dyDescent="0.25">
      <c r="A1638" s="38">
        <v>25</v>
      </c>
      <c r="B1638" s="34" t="s">
        <v>986</v>
      </c>
      <c r="C1638" s="18">
        <v>25538000000</v>
      </c>
      <c r="D1638" s="32" t="s">
        <v>3155</v>
      </c>
      <c r="E1638" s="5">
        <f>IF('зведена (БАЛАНС) (2)'!E1638&gt;'зведена (БАЛАНС) (2)'!F1638,'зведена (БАЛАНС) (2)'!E1638-'зведена (БАЛАНС) (2)'!F1638,0)</f>
        <v>0</v>
      </c>
      <c r="F1638" s="5">
        <f>IF('зведена (БАЛАНС) (2)'!F1638&gt;'зведена (БАЛАНС) (2)'!E1638,'зведена (БАЛАНС) (2)'!F1638-'зведена (БАЛАНС) (2)'!E1638,0)</f>
        <v>2871.4</v>
      </c>
    </row>
    <row r="1639" spans="1:6" x14ac:dyDescent="0.25">
      <c r="A1639" s="38">
        <v>25</v>
      </c>
      <c r="B1639" s="34" t="s">
        <v>986</v>
      </c>
      <c r="C1639" s="18">
        <v>25539000000</v>
      </c>
      <c r="D1639" s="32" t="s">
        <v>3156</v>
      </c>
      <c r="E1639" s="5">
        <f>IF('зведена (БАЛАНС) (2)'!E1639&gt;'зведена (БАЛАНС) (2)'!F1639,'зведена (БАЛАНС) (2)'!E1639-'зведена (БАЛАНС) (2)'!F1639,0)</f>
        <v>0</v>
      </c>
      <c r="F1639" s="5">
        <f>IF('зведена (БАЛАНС) (2)'!F1639&gt;'зведена (БАЛАНС) (2)'!E1639,'зведена (БАЛАНС) (2)'!F1639-'зведена (БАЛАНС) (2)'!E1639,0)</f>
        <v>9220.2999999999993</v>
      </c>
    </row>
    <row r="1640" spans="1:6" x14ac:dyDescent="0.25">
      <c r="A1640" s="38">
        <v>25</v>
      </c>
      <c r="B1640" s="34" t="s">
        <v>983</v>
      </c>
      <c r="C1640" s="18">
        <v>25540000000</v>
      </c>
      <c r="D1640" s="32" t="s">
        <v>3157</v>
      </c>
      <c r="E1640" s="5">
        <f>IF('зведена (БАЛАНС) (2)'!E1640&gt;'зведена (БАЛАНС) (2)'!F1640,'зведена (БАЛАНС) (2)'!E1640-'зведена (БАЛАНС) (2)'!F1640,0)</f>
        <v>0</v>
      </c>
      <c r="F1640" s="5">
        <f>IF('зведена (БАЛАНС) (2)'!F1640&gt;'зведена (БАЛАНС) (2)'!E1640,'зведена (БАЛАНС) (2)'!F1640-'зведена (БАЛАНС) (2)'!E1640,0)</f>
        <v>7579</v>
      </c>
    </row>
    <row r="1641" spans="1:6" x14ac:dyDescent="0.25">
      <c r="A1641" s="38">
        <v>25</v>
      </c>
      <c r="B1641" s="34" t="s">
        <v>984</v>
      </c>
      <c r="C1641" s="18">
        <v>25541000000</v>
      </c>
      <c r="D1641" s="32" t="s">
        <v>3158</v>
      </c>
      <c r="E1641" s="5">
        <f>IF('зведена (БАЛАНС) (2)'!E1641&gt;'зведена (БАЛАНС) (2)'!F1641,'зведена (БАЛАНС) (2)'!E1641-'зведена (БАЛАНС) (2)'!F1641,0)</f>
        <v>0</v>
      </c>
      <c r="F1641" s="5">
        <f>IF('зведена (БАЛАНС) (2)'!F1641&gt;'зведена (БАЛАНС) (2)'!E1641,'зведена (БАЛАНС) (2)'!F1641-'зведена (БАЛАНС) (2)'!E1641,0)</f>
        <v>0</v>
      </c>
    </row>
    <row r="1642" spans="1:6" x14ac:dyDescent="0.25">
      <c r="A1642" s="38">
        <v>25</v>
      </c>
      <c r="B1642" s="34" t="s">
        <v>984</v>
      </c>
      <c r="C1642" s="18">
        <v>25542000000</v>
      </c>
      <c r="D1642" s="32" t="s">
        <v>3159</v>
      </c>
      <c r="E1642" s="5">
        <f>IF('зведена (БАЛАНС) (2)'!E1642&gt;'зведена (БАЛАНС) (2)'!F1642,'зведена (БАЛАНС) (2)'!E1642-'зведена (БАЛАНС) (2)'!F1642,0)</f>
        <v>0</v>
      </c>
      <c r="F1642" s="5">
        <f>IF('зведена (БАЛАНС) (2)'!F1642&gt;'зведена (БАЛАНС) (2)'!E1642,'зведена (БАЛАНС) (2)'!F1642-'зведена (БАЛАНС) (2)'!E1642,0)</f>
        <v>6756.8</v>
      </c>
    </row>
    <row r="1643" spans="1:6" x14ac:dyDescent="0.25">
      <c r="A1643" s="38">
        <v>25</v>
      </c>
      <c r="B1643" s="34" t="s">
        <v>985</v>
      </c>
      <c r="C1643" s="18">
        <v>25546000000</v>
      </c>
      <c r="D1643" s="32" t="s">
        <v>3160</v>
      </c>
      <c r="E1643" s="5">
        <f>IF('зведена (БАЛАНС) (2)'!E1643&gt;'зведена (БАЛАНС) (2)'!F1643,'зведена (БАЛАНС) (2)'!E1643-'зведена (БАЛАНС) (2)'!F1643,0)</f>
        <v>0</v>
      </c>
      <c r="F1643" s="5">
        <f>IF('зведена (БАЛАНС) (2)'!F1643&gt;'зведена (БАЛАНС) (2)'!E1643,'зведена (БАЛАНС) (2)'!F1643-'зведена (БАЛАНС) (2)'!E1643,0)</f>
        <v>1272</v>
      </c>
    </row>
    <row r="1644" spans="1:6" x14ac:dyDescent="0.25">
      <c r="A1644" s="38">
        <v>25</v>
      </c>
      <c r="B1644" s="34" t="s">
        <v>984</v>
      </c>
      <c r="C1644" s="18">
        <v>25547000000</v>
      </c>
      <c r="D1644" s="32" t="s">
        <v>3161</v>
      </c>
      <c r="E1644" s="5">
        <f>IF('зведена (БАЛАНС) (2)'!E1644&gt;'зведена (БАЛАНС) (2)'!F1644,'зведена (БАЛАНС) (2)'!E1644-'зведена (БАЛАНС) (2)'!F1644,0)</f>
        <v>0</v>
      </c>
      <c r="F1644" s="5">
        <f>IF('зведена (БАЛАНС) (2)'!F1644&gt;'зведена (БАЛАНС) (2)'!E1644,'зведена (БАЛАНС) (2)'!F1644-'зведена (БАЛАНС) (2)'!E1644,0)</f>
        <v>0</v>
      </c>
    </row>
    <row r="1645" spans="1:6" x14ac:dyDescent="0.25">
      <c r="A1645" s="38">
        <v>25</v>
      </c>
      <c r="B1645" s="34" t="s">
        <v>985</v>
      </c>
      <c r="C1645" s="18">
        <v>25548000000</v>
      </c>
      <c r="D1645" s="32" t="s">
        <v>3162</v>
      </c>
      <c r="E1645" s="5">
        <f>IF('зведена (БАЛАНС) (2)'!E1645&gt;'зведена (БАЛАНС) (2)'!F1645,'зведена (БАЛАНС) (2)'!E1645-'зведена (БАЛАНС) (2)'!F1645,0)</f>
        <v>0</v>
      </c>
      <c r="F1645" s="5">
        <f>IF('зведена (БАЛАНС) (2)'!F1645&gt;'зведена (БАЛАНС) (2)'!E1645,'зведена (БАЛАНС) (2)'!F1645-'зведена (БАЛАНС) (2)'!E1645,0)</f>
        <v>10083.799999999999</v>
      </c>
    </row>
    <row r="1646" spans="1:6" x14ac:dyDescent="0.25">
      <c r="A1646" s="38">
        <v>25</v>
      </c>
      <c r="B1646" s="34" t="s">
        <v>984</v>
      </c>
      <c r="C1646" s="18">
        <v>25549000000</v>
      </c>
      <c r="D1646" s="32" t="s">
        <v>3163</v>
      </c>
      <c r="E1646" s="5">
        <f>IF('зведена (БАЛАНС) (2)'!E1646&gt;'зведена (БАЛАНС) (2)'!F1646,'зведена (БАЛАНС) (2)'!E1646-'зведена (БАЛАНС) (2)'!F1646,0)</f>
        <v>0</v>
      </c>
      <c r="F1646" s="5">
        <f>IF('зведена (БАЛАНС) (2)'!F1646&gt;'зведена (БАЛАНС) (2)'!E1646,'зведена (БАЛАНС) (2)'!F1646-'зведена (БАЛАНС) (2)'!E1646,0)</f>
        <v>7035</v>
      </c>
    </row>
    <row r="1647" spans="1:6" x14ac:dyDescent="0.25">
      <c r="A1647" s="38">
        <v>25</v>
      </c>
      <c r="B1647" s="34" t="s">
        <v>984</v>
      </c>
      <c r="C1647" s="18">
        <v>25550000000</v>
      </c>
      <c r="D1647" s="32" t="s">
        <v>3164</v>
      </c>
      <c r="E1647" s="5">
        <f>IF('зведена (БАЛАНС) (2)'!E1647&gt;'зведена (БАЛАНС) (2)'!F1647,'зведена (БАЛАНС) (2)'!E1647-'зведена (БАЛАНС) (2)'!F1647,0)</f>
        <v>0</v>
      </c>
      <c r="F1647" s="5">
        <f>IF('зведена (БАЛАНС) (2)'!F1647&gt;'зведена (БАЛАНС) (2)'!E1647,'зведена (БАЛАНС) (2)'!F1647-'зведена (БАЛАНС) (2)'!E1647,0)</f>
        <v>6625.6</v>
      </c>
    </row>
    <row r="1648" spans="1:6" x14ac:dyDescent="0.25">
      <c r="A1648" s="38">
        <v>25</v>
      </c>
      <c r="B1648" s="34" t="s">
        <v>983</v>
      </c>
      <c r="C1648" s="18">
        <v>25551000000</v>
      </c>
      <c r="D1648" s="32" t="s">
        <v>2723</v>
      </c>
      <c r="E1648" s="5">
        <f>IF('зведена (БАЛАНС) (2)'!E1648&gt;'зведена (БАЛАНС) (2)'!F1648,'зведена (БАЛАНС) (2)'!E1648-'зведена (БАЛАНС) (2)'!F1648,0)</f>
        <v>0</v>
      </c>
      <c r="F1648" s="5">
        <f>IF('зведена (БАЛАНС) (2)'!F1648&gt;'зведена (БАЛАНС) (2)'!E1648,'зведена (БАЛАНС) (2)'!F1648-'зведена (БАЛАНС) (2)'!E1648,0)</f>
        <v>0</v>
      </c>
    </row>
    <row r="1649" spans="1:6" x14ac:dyDescent="0.25">
      <c r="A1649" s="38">
        <v>25</v>
      </c>
      <c r="B1649" s="34" t="s">
        <v>985</v>
      </c>
      <c r="C1649" s="18">
        <v>25552000000</v>
      </c>
      <c r="D1649" s="32" t="s">
        <v>2724</v>
      </c>
      <c r="E1649" s="5">
        <f>IF('зведена (БАЛАНС) (2)'!E1649&gt;'зведена (БАЛАНС) (2)'!F1649,'зведена (БАЛАНС) (2)'!E1649-'зведена (БАЛАНС) (2)'!F1649,0)</f>
        <v>0</v>
      </c>
      <c r="F1649" s="5">
        <f>IF('зведена (БАЛАНС) (2)'!F1649&gt;'зведена (БАЛАНС) (2)'!E1649,'зведена (БАЛАНС) (2)'!F1649-'зведена (БАЛАНС) (2)'!E1649,0)</f>
        <v>10274.1</v>
      </c>
    </row>
    <row r="1650" spans="1:6" x14ac:dyDescent="0.25">
      <c r="A1650" s="38">
        <v>25</v>
      </c>
      <c r="B1650" s="34" t="s">
        <v>985</v>
      </c>
      <c r="C1650" s="18">
        <v>25553000000</v>
      </c>
      <c r="D1650" s="32" t="s">
        <v>2733</v>
      </c>
      <c r="E1650" s="5">
        <f>IF('зведена (БАЛАНС) (2)'!E1650&gt;'зведена (БАЛАНС) (2)'!F1650,'зведена (БАЛАНС) (2)'!E1650-'зведена (БАЛАНС) (2)'!F1650,0)</f>
        <v>0</v>
      </c>
      <c r="F1650" s="5">
        <f>IF('зведена (БАЛАНС) (2)'!F1650&gt;'зведена (БАЛАНС) (2)'!E1650,'зведена (БАЛАНС) (2)'!F1650-'зведена (БАЛАНС) (2)'!E1650,0)</f>
        <v>297</v>
      </c>
    </row>
    <row r="1651" spans="1:6" x14ac:dyDescent="0.25">
      <c r="A1651" s="38">
        <v>25</v>
      </c>
      <c r="B1651" s="34" t="s">
        <v>984</v>
      </c>
      <c r="C1651" s="18">
        <v>25554000000</v>
      </c>
      <c r="D1651" s="32" t="s">
        <v>2725</v>
      </c>
      <c r="E1651" s="5">
        <f>IF('зведена (БАЛАНС) (2)'!E1651&gt;'зведена (БАЛАНС) (2)'!F1651,'зведена (БАЛАНС) (2)'!E1651-'зведена (БАЛАНС) (2)'!F1651,0)</f>
        <v>0</v>
      </c>
      <c r="F1651" s="5">
        <f>IF('зведена (БАЛАНС) (2)'!F1651&gt;'зведена (БАЛАНС) (2)'!E1651,'зведена (БАЛАНС) (2)'!F1651-'зведена (БАЛАНС) (2)'!E1651,0)</f>
        <v>4601.3999999999996</v>
      </c>
    </row>
    <row r="1652" spans="1:6" x14ac:dyDescent="0.25">
      <c r="A1652" s="38">
        <v>25</v>
      </c>
      <c r="B1652" s="34" t="s">
        <v>985</v>
      </c>
      <c r="C1652" s="18">
        <v>25555000000</v>
      </c>
      <c r="D1652" s="32" t="s">
        <v>2726</v>
      </c>
      <c r="E1652" s="5">
        <f>IF('зведена (БАЛАНС) (2)'!E1652&gt;'зведена (БАЛАНС) (2)'!F1652,'зведена (БАЛАНС) (2)'!E1652-'зведена (БАЛАНС) (2)'!F1652,0)</f>
        <v>0</v>
      </c>
      <c r="F1652" s="5">
        <f>IF('зведена (БАЛАНС) (2)'!F1652&gt;'зведена (БАЛАНС) (2)'!E1652,'зведена (БАЛАНС) (2)'!F1652-'зведена (БАЛАНС) (2)'!E1652,0)</f>
        <v>7445.5</v>
      </c>
    </row>
    <row r="1653" spans="1:6" x14ac:dyDescent="0.25">
      <c r="A1653" s="38">
        <v>25</v>
      </c>
      <c r="B1653" s="34" t="s">
        <v>986</v>
      </c>
      <c r="C1653" s="18">
        <v>25556000000</v>
      </c>
      <c r="D1653" s="32" t="s">
        <v>2727</v>
      </c>
      <c r="E1653" s="5">
        <f>IF('зведена (БАЛАНС) (2)'!E1653&gt;'зведена (БАЛАНС) (2)'!F1653,'зведена (БАЛАНС) (2)'!E1653-'зведена (БАЛАНС) (2)'!F1653,0)</f>
        <v>13417.8</v>
      </c>
      <c r="F1653" s="5">
        <f>IF('зведена (БАЛАНС) (2)'!F1653&gt;'зведена (БАЛАНС) (2)'!E1653,'зведена (БАЛАНС) (2)'!F1653-'зведена (БАЛАНС) (2)'!E1653,0)</f>
        <v>0</v>
      </c>
    </row>
    <row r="1654" spans="1:6" x14ac:dyDescent="0.25">
      <c r="A1654" s="38">
        <v>25</v>
      </c>
      <c r="B1654" s="34" t="s">
        <v>985</v>
      </c>
      <c r="C1654" s="18">
        <v>25557000000</v>
      </c>
      <c r="D1654" s="32" t="s">
        <v>2728</v>
      </c>
      <c r="E1654" s="5">
        <f>IF('зведена (БАЛАНС) (2)'!E1654&gt;'зведена (БАЛАНС) (2)'!F1654,'зведена (БАЛАНС) (2)'!E1654-'зведена (БАЛАНС) (2)'!F1654,0)</f>
        <v>0</v>
      </c>
      <c r="F1654" s="5">
        <f>IF('зведена (БАЛАНС) (2)'!F1654&gt;'зведена (БАЛАНС) (2)'!E1654,'зведена (БАЛАНС) (2)'!F1654-'зведена (БАЛАНС) (2)'!E1654,0)</f>
        <v>10042.6</v>
      </c>
    </row>
    <row r="1655" spans="1:6" x14ac:dyDescent="0.25">
      <c r="A1655" s="38">
        <v>25</v>
      </c>
      <c r="B1655" s="34" t="s">
        <v>985</v>
      </c>
      <c r="C1655" s="18">
        <v>25558000000</v>
      </c>
      <c r="D1655" s="32" t="s">
        <v>2729</v>
      </c>
      <c r="E1655" s="5">
        <f>IF('зведена (БАЛАНС) (2)'!E1655&gt;'зведена (БАЛАНС) (2)'!F1655,'зведена (БАЛАНС) (2)'!E1655-'зведена (БАЛАНС) (2)'!F1655,0)</f>
        <v>0</v>
      </c>
      <c r="F1655" s="5">
        <f>IF('зведена (БАЛАНС) (2)'!F1655&gt;'зведена (БАЛАНС) (2)'!E1655,'зведена (БАЛАНС) (2)'!F1655-'зведена (БАЛАНС) (2)'!E1655,0)</f>
        <v>4557.7</v>
      </c>
    </row>
    <row r="1656" spans="1:6" x14ac:dyDescent="0.25">
      <c r="A1656" s="38">
        <v>25</v>
      </c>
      <c r="B1656" s="34" t="s">
        <v>986</v>
      </c>
      <c r="C1656" s="18">
        <v>25559000000</v>
      </c>
      <c r="D1656" s="32" t="s">
        <v>2730</v>
      </c>
      <c r="E1656" s="5">
        <f>IF('зведена (БАЛАНС) (2)'!E1656&gt;'зведена (БАЛАНС) (2)'!F1656,'зведена (БАЛАНС) (2)'!E1656-'зведена (БАЛАНС) (2)'!F1656,0)</f>
        <v>48689.5</v>
      </c>
      <c r="F1656" s="5">
        <f>IF('зведена (БАЛАНС) (2)'!F1656&gt;'зведена (БАЛАНС) (2)'!E1656,'зведена (БАЛАНС) (2)'!F1656-'зведена (БАЛАНС) (2)'!E1656,0)</f>
        <v>0</v>
      </c>
    </row>
    <row r="1657" spans="1:6" x14ac:dyDescent="0.25">
      <c r="A1657" s="38">
        <v>25</v>
      </c>
      <c r="B1657" s="34" t="s">
        <v>984</v>
      </c>
      <c r="C1657" s="18">
        <v>25560000000</v>
      </c>
      <c r="D1657" s="32" t="s">
        <v>2731</v>
      </c>
      <c r="E1657" s="5">
        <f>IF('зведена (БАЛАНС) (2)'!E1657&gt;'зведена (БАЛАНС) (2)'!F1657,'зведена (БАЛАНС) (2)'!E1657-'зведена (БАЛАНС) (2)'!F1657,0)</f>
        <v>0</v>
      </c>
      <c r="F1657" s="5">
        <f>IF('зведена (БАЛАНС) (2)'!F1657&gt;'зведена (БАЛАНС) (2)'!E1657,'зведена (БАЛАНС) (2)'!F1657-'зведена (БАЛАНС) (2)'!E1657,0)</f>
        <v>904.5</v>
      </c>
    </row>
    <row r="1658" spans="1:6" x14ac:dyDescent="0.25">
      <c r="A1658" s="36">
        <v>26</v>
      </c>
      <c r="B1658" s="17" t="s">
        <v>7</v>
      </c>
      <c r="C1658" s="17" t="s">
        <v>223</v>
      </c>
      <c r="D1658" s="11" t="s">
        <v>881</v>
      </c>
      <c r="E1658" s="11">
        <f>IF('зведена (БАЛАНС) (2)'!E1658&gt;'зведена (БАЛАНС) (2)'!F1658,'зведена (БАЛАНС) (2)'!E1658-'зведена (БАЛАНС) (2)'!F1658,0)</f>
        <v>0</v>
      </c>
      <c r="F1658" s="11">
        <f>IF('зведена (БАЛАНС) (2)'!F1658&gt;'зведена (БАЛАНС) (2)'!E1658,'зведена (БАЛАНС) (2)'!F1658-'зведена (БАЛАНС) (2)'!E1658,0)</f>
        <v>0</v>
      </c>
    </row>
    <row r="1659" spans="1:6" x14ac:dyDescent="0.25">
      <c r="A1659" s="40" t="s">
        <v>3</v>
      </c>
      <c r="B1659" s="41" t="s">
        <v>7</v>
      </c>
      <c r="C1659" s="42">
        <v>95000000000</v>
      </c>
      <c r="D1659" s="43" t="s">
        <v>993</v>
      </c>
      <c r="E1659" s="48">
        <f>E5+E78+E140+E237+E292+E366+E440+E516+E588+E668+E725+E759+E843+E903+E1005+E1073+E1145+E1205+E1267+E1334+E1392+E1459+E1533+E1592</f>
        <v>10792834.300000001</v>
      </c>
      <c r="F1659" s="48">
        <f>F5+F78+F140+F237+F292+F366+F440+F516+F588+F668+F725+F759+F843+F903+F1005+F1073+F1145+F1205+F1267+F1334+F1392+F1459+F1533+F1592</f>
        <v>16294154.299999997</v>
      </c>
    </row>
    <row r="1660" spans="1:6" x14ac:dyDescent="0.25">
      <c r="A1660" s="44" t="s">
        <v>3</v>
      </c>
      <c r="B1660" s="45" t="s">
        <v>7</v>
      </c>
      <c r="C1660" s="16">
        <v>96000000000</v>
      </c>
      <c r="D1660" s="5" t="s">
        <v>994</v>
      </c>
      <c r="E1660" s="49"/>
      <c r="F1660" s="49"/>
    </row>
    <row r="1661" spans="1:6" x14ac:dyDescent="0.25">
      <c r="A1661" s="44" t="s">
        <v>3</v>
      </c>
      <c r="B1661" s="45" t="s">
        <v>7</v>
      </c>
      <c r="C1661" s="16">
        <v>97000000000</v>
      </c>
      <c r="D1661" s="5" t="s">
        <v>995</v>
      </c>
      <c r="E1661" s="49"/>
      <c r="F1661" s="49"/>
    </row>
    <row r="1662" spans="1:6" ht="63" x14ac:dyDescent="0.25">
      <c r="A1662" s="44" t="s">
        <v>3</v>
      </c>
      <c r="B1662" s="45" t="s">
        <v>7</v>
      </c>
      <c r="C1662" s="16">
        <v>98000000000</v>
      </c>
      <c r="D1662" s="5" t="s">
        <v>996</v>
      </c>
      <c r="E1662" s="49"/>
      <c r="F1662" s="49"/>
    </row>
    <row r="1663" spans="1:6" x14ac:dyDescent="0.25">
      <c r="A1663" s="44"/>
      <c r="B1663" s="45"/>
      <c r="C1663" s="16"/>
      <c r="D1663" s="5" t="s">
        <v>1062</v>
      </c>
      <c r="E1663" s="49"/>
      <c r="F1663" s="49"/>
    </row>
    <row r="1664" spans="1:6" x14ac:dyDescent="0.25">
      <c r="A1664" s="46" t="s">
        <v>3</v>
      </c>
      <c r="B1664" s="46" t="s">
        <v>7</v>
      </c>
      <c r="C1664" s="47">
        <v>99000000000</v>
      </c>
      <c r="D1664" s="43" t="s">
        <v>997</v>
      </c>
      <c r="E1664" s="48">
        <f>E1659+E1660+E1661+E1662+E1663</f>
        <v>10792834.300000001</v>
      </c>
      <c r="F1664" s="48">
        <f>F1659+F1660+F1661+F1662+F1663</f>
        <v>16294154.299999997</v>
      </c>
    </row>
    <row r="1666" spans="5:6" x14ac:dyDescent="0.25">
      <c r="E1666" s="95"/>
      <c r="F1666" s="95"/>
    </row>
    <row r="1667" spans="5:6" x14ac:dyDescent="0.25">
      <c r="F1667" s="95"/>
    </row>
  </sheetData>
  <autoFilter ref="A4:G2208"/>
  <mergeCells count="6">
    <mergeCell ref="F3:F4"/>
    <mergeCell ref="A1:F1"/>
    <mergeCell ref="A3:B3"/>
    <mergeCell ref="C3:C4"/>
    <mergeCell ref="D3:D4"/>
    <mergeCell ref="E3:E4"/>
  </mergeCells>
  <printOptions horizontalCentered="1"/>
  <pageMargins left="0.19685039370078741" right="0.19685039370078741" top="0.39370078740157483" bottom="0.39370078740157483" header="0" footer="0"/>
  <pageSetup paperSize="9" scale="76" fitToHeight="36" orientation="portrait" r:id="rId1"/>
  <headerFooter>
    <oddFooter>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8</vt:i4>
      </vt:variant>
    </vt:vector>
  </HeadingPairs>
  <TitlesOfParts>
    <vt:vector size="13" baseType="lpstr">
      <vt:lpstr>ПОДАТОК НА ПРИБУТОК</vt:lpstr>
      <vt:lpstr>ПДФО ОБЛАСНІ</vt:lpstr>
      <vt:lpstr>ПДФО ГРОМАДИ</vt:lpstr>
      <vt:lpstr>зведена (БАЛАНС) (2)</vt:lpstr>
      <vt:lpstr>Зведена</vt:lpstr>
      <vt:lpstr>Зведена!Заголовки_для_друку</vt:lpstr>
      <vt:lpstr>'зведена (БАЛАНС) (2)'!Заголовки_для_друку</vt:lpstr>
      <vt:lpstr>'ПДФО ГРОМАДИ'!Заголовки_для_друку</vt:lpstr>
      <vt:lpstr>Зведена!Область_друку</vt:lpstr>
      <vt:lpstr>'зведена (БАЛАНС) (2)'!Область_друку</vt:lpstr>
      <vt:lpstr>'ПДФО ГРОМАДИ'!Область_друку</vt:lpstr>
      <vt:lpstr>'ПДФО ОБЛАСНІ'!Область_друку</vt:lpstr>
      <vt:lpstr>'ПОДАТОК НА ПРИБУТОК'!Область_друку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Павлюк Павло Петрович</cp:lastModifiedBy>
  <cp:lastPrinted>2021-09-12T16:08:12Z</cp:lastPrinted>
  <dcterms:created xsi:type="dcterms:W3CDTF">2015-07-29T07:17:08Z</dcterms:created>
  <dcterms:modified xsi:type="dcterms:W3CDTF">2021-09-15T14:22:48Z</dcterms:modified>
</cp:coreProperties>
</file>